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A:\Website\Content\"/>
    </mc:Choice>
  </mc:AlternateContent>
  <xr:revisionPtr revIDLastSave="0" documentId="13_ncr:1_{98470455-7041-4177-B172-DECD901C5E8C}" xr6:coauthVersionLast="45" xr6:coauthVersionMax="45" xr10:uidLastSave="{00000000-0000-0000-0000-000000000000}"/>
  <bookViews>
    <workbookView xWindow="-120" yWindow="-120" windowWidth="29040" windowHeight="15840" tabRatio="650" xr2:uid="{00000000-000D-0000-FFFF-FFFF00000000}"/>
  </bookViews>
  <sheets>
    <sheet name="Instructions" sheetId="4" r:id="rId1"/>
    <sheet name="Ventilation Fan Cost Calculator" sheetId="1" r:id="rId2"/>
    <sheet name="Imperial to metric Conv." sheetId="2" r:id="rId3"/>
    <sheet name="Metric to Imperial Conv."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51" i="1" l="1"/>
  <c r="AE52" i="1"/>
  <c r="AE53" i="1"/>
  <c r="AE57" i="1"/>
  <c r="AE58" i="1"/>
  <c r="AE59" i="1"/>
  <c r="AE60" i="1"/>
  <c r="AE64" i="1"/>
  <c r="AE65" i="1"/>
  <c r="AE66" i="1"/>
  <c r="AE67" i="1"/>
  <c r="AE68" i="1"/>
  <c r="AE69" i="1"/>
  <c r="AE70" i="1"/>
  <c r="AE71" i="1"/>
  <c r="AE72" i="1"/>
  <c r="AE73" i="1"/>
  <c r="AE74" i="1"/>
  <c r="AE75" i="1"/>
  <c r="AE76" i="1"/>
  <c r="AE77" i="1"/>
  <c r="AE78" i="1"/>
  <c r="AE81" i="1"/>
  <c r="AE82" i="1"/>
  <c r="AE83" i="1"/>
  <c r="AE84" i="1"/>
  <c r="AE87" i="1"/>
  <c r="AE88" i="1"/>
  <c r="AE89" i="1"/>
  <c r="AE90" i="1"/>
  <c r="AE91" i="1"/>
  <c r="AE92" i="1"/>
  <c r="AE93" i="1"/>
  <c r="F18" i="1" l="1"/>
  <c r="C246" i="1" l="1"/>
  <c r="D246" i="1"/>
  <c r="E246" i="1"/>
  <c r="F246" i="1"/>
  <c r="G246" i="1"/>
  <c r="C243" i="1"/>
  <c r="D243" i="1"/>
  <c r="E243" i="1"/>
  <c r="F243" i="1"/>
  <c r="G243" i="1"/>
  <c r="C244" i="1"/>
  <c r="D244" i="1"/>
  <c r="E244" i="1"/>
  <c r="F244" i="1"/>
  <c r="G244" i="1"/>
  <c r="C245" i="1"/>
  <c r="D245" i="1"/>
  <c r="E245" i="1"/>
  <c r="F245" i="1"/>
  <c r="G245" i="1"/>
  <c r="G242" i="1"/>
  <c r="F242" i="1"/>
  <c r="E242" i="1"/>
  <c r="D242" i="1"/>
  <c r="C242" i="1"/>
  <c r="H171" i="1"/>
  <c r="H172" i="1"/>
  <c r="H173" i="1"/>
  <c r="H243" i="1" l="1"/>
  <c r="H246" i="1"/>
  <c r="H244" i="1"/>
  <c r="H245" i="1"/>
  <c r="H242" i="1"/>
  <c r="H125" i="1" s="1"/>
  <c r="F28" i="1" l="1"/>
  <c r="G28" i="1"/>
  <c r="H28" i="1"/>
  <c r="I28" i="1"/>
  <c r="J28" i="1"/>
  <c r="B191" i="1"/>
  <c r="R191" i="1" s="1"/>
  <c r="J191" i="1"/>
  <c r="Z191" i="1" s="1"/>
  <c r="U191" i="1"/>
  <c r="Y191" i="1" s="1"/>
  <c r="AE191" i="1"/>
  <c r="AF191" i="1" s="1"/>
  <c r="AG191" i="1"/>
  <c r="B192" i="1"/>
  <c r="R192" i="1" s="1"/>
  <c r="J192" i="1"/>
  <c r="Z192" i="1" s="1"/>
  <c r="U192" i="1"/>
  <c r="W192" i="1" s="1"/>
  <c r="AE192" i="1"/>
  <c r="AF192" i="1" s="1"/>
  <c r="AG192" i="1"/>
  <c r="B193" i="1"/>
  <c r="U193" i="1"/>
  <c r="W193" i="1" s="1"/>
  <c r="AE193" i="1"/>
  <c r="AF193" i="1" s="1"/>
  <c r="AG193" i="1"/>
  <c r="B194" i="1"/>
  <c r="E194" i="1" s="1"/>
  <c r="F194" i="1" s="1"/>
  <c r="U194" i="1"/>
  <c r="Y194" i="1" s="1"/>
  <c r="AE194" i="1"/>
  <c r="AF194" i="1" s="1"/>
  <c r="AG194" i="1"/>
  <c r="B195" i="1"/>
  <c r="U195" i="1"/>
  <c r="W195" i="1" s="1"/>
  <c r="AE195" i="1"/>
  <c r="AF195" i="1" s="1"/>
  <c r="AG195" i="1"/>
  <c r="B196" i="1"/>
  <c r="U196" i="1"/>
  <c r="Y196" i="1" s="1"/>
  <c r="AE196" i="1"/>
  <c r="AF196" i="1" s="1"/>
  <c r="AG196" i="1"/>
  <c r="B197" i="1"/>
  <c r="E197" i="1" s="1"/>
  <c r="F197" i="1" s="1"/>
  <c r="U197" i="1"/>
  <c r="W197" i="1" s="1"/>
  <c r="AE197" i="1"/>
  <c r="AF197" i="1" s="1"/>
  <c r="AG197" i="1"/>
  <c r="B198" i="1"/>
  <c r="S198" i="1" s="1"/>
  <c r="J198" i="1"/>
  <c r="Z198" i="1" s="1"/>
  <c r="V198" i="1" s="1"/>
  <c r="X198" i="1" s="1"/>
  <c r="U198" i="1"/>
  <c r="AE198" i="1"/>
  <c r="AF198" i="1" s="1"/>
  <c r="AG198" i="1"/>
  <c r="B199" i="1"/>
  <c r="H199" i="1" s="1"/>
  <c r="U199" i="1"/>
  <c r="AE199" i="1"/>
  <c r="AF199" i="1" s="1"/>
  <c r="AG199" i="1"/>
  <c r="B200" i="1"/>
  <c r="S200" i="1" s="1"/>
  <c r="J200" i="1"/>
  <c r="Z200" i="1" s="1"/>
  <c r="V200" i="1" s="1"/>
  <c r="X200" i="1" s="1"/>
  <c r="U200" i="1"/>
  <c r="Y200" i="1" s="1"/>
  <c r="AE200" i="1"/>
  <c r="AF200" i="1" s="1"/>
  <c r="AG200" i="1"/>
  <c r="B201" i="1"/>
  <c r="E201" i="1" s="1"/>
  <c r="F201" i="1" s="1"/>
  <c r="U201" i="1"/>
  <c r="AE201" i="1"/>
  <c r="AF201" i="1" s="1"/>
  <c r="AG201" i="1"/>
  <c r="B202" i="1"/>
  <c r="AE202" i="1"/>
  <c r="AF202" i="1" s="1"/>
  <c r="AG202" i="1"/>
  <c r="B203" i="1"/>
  <c r="E203" i="1" s="1"/>
  <c r="F203" i="1" s="1"/>
  <c r="AE203" i="1"/>
  <c r="AF203" i="1" s="1"/>
  <c r="AG203" i="1"/>
  <c r="B204" i="1"/>
  <c r="AE204" i="1"/>
  <c r="AF204" i="1" s="1"/>
  <c r="AG204" i="1"/>
  <c r="B205" i="1"/>
  <c r="E205" i="1" s="1"/>
  <c r="F205" i="1" s="1"/>
  <c r="AE205" i="1"/>
  <c r="AF205" i="1" s="1"/>
  <c r="AG205" i="1"/>
  <c r="B206" i="1"/>
  <c r="AE206" i="1"/>
  <c r="AF206" i="1" s="1"/>
  <c r="AG206" i="1"/>
  <c r="B207" i="1"/>
  <c r="H207" i="1" s="1"/>
  <c r="AE207" i="1"/>
  <c r="AF207" i="1" s="1"/>
  <c r="AG207" i="1"/>
  <c r="B208" i="1"/>
  <c r="H208" i="1" s="1"/>
  <c r="AE208" i="1"/>
  <c r="AF208" i="1" s="1"/>
  <c r="AG208" i="1"/>
  <c r="B209" i="1"/>
  <c r="AE209" i="1"/>
  <c r="AF209" i="1" s="1"/>
  <c r="AG209" i="1"/>
  <c r="B210" i="1"/>
  <c r="AE210" i="1"/>
  <c r="AF210" i="1" s="1"/>
  <c r="AG210" i="1"/>
  <c r="B211" i="1"/>
  <c r="E211" i="1" s="1"/>
  <c r="F211" i="1" s="1"/>
  <c r="AE211" i="1"/>
  <c r="AF211" i="1" s="1"/>
  <c r="AG211" i="1"/>
  <c r="B212" i="1"/>
  <c r="AE212" i="1"/>
  <c r="AF212" i="1" s="1"/>
  <c r="AG212" i="1"/>
  <c r="B213" i="1"/>
  <c r="E213" i="1" s="1"/>
  <c r="F213" i="1" s="1"/>
  <c r="AE213" i="1"/>
  <c r="AF213" i="1" s="1"/>
  <c r="AG213" i="1"/>
  <c r="B214" i="1"/>
  <c r="AE214" i="1"/>
  <c r="AF214" i="1" s="1"/>
  <c r="AG214" i="1"/>
  <c r="B215" i="1"/>
  <c r="E215" i="1" s="1"/>
  <c r="F215" i="1" s="1"/>
  <c r="AE215" i="1"/>
  <c r="AF215" i="1" s="1"/>
  <c r="AG215" i="1"/>
  <c r="B216" i="1"/>
  <c r="R216" i="1" s="1"/>
  <c r="J216" i="1"/>
  <c r="Z216" i="1" s="1"/>
  <c r="V216" i="1" s="1"/>
  <c r="X216" i="1" s="1"/>
  <c r="AE216" i="1"/>
  <c r="AF216" i="1" s="1"/>
  <c r="AG216" i="1"/>
  <c r="B217" i="1"/>
  <c r="E217" i="1" s="1"/>
  <c r="F217" i="1" s="1"/>
  <c r="AE217" i="1"/>
  <c r="AF217" i="1" s="1"/>
  <c r="AG217" i="1"/>
  <c r="B218" i="1"/>
  <c r="H218" i="1" s="1"/>
  <c r="AE218" i="1"/>
  <c r="AF218" i="1" s="1"/>
  <c r="AG218" i="1"/>
  <c r="B219" i="1"/>
  <c r="AE219" i="1"/>
  <c r="AF219" i="1" s="1"/>
  <c r="AG219" i="1"/>
  <c r="B220" i="1"/>
  <c r="H220" i="1" s="1"/>
  <c r="AE220" i="1"/>
  <c r="AF220" i="1" s="1"/>
  <c r="AG220" i="1"/>
  <c r="B221" i="1"/>
  <c r="E221" i="1" s="1"/>
  <c r="F221" i="1" s="1"/>
  <c r="G221" i="1"/>
  <c r="AE221" i="1"/>
  <c r="AF221" i="1" s="1"/>
  <c r="AG221" i="1"/>
  <c r="B222" i="1"/>
  <c r="G222" i="1"/>
  <c r="Z222" i="1"/>
  <c r="AE222" i="1"/>
  <c r="AF222" i="1" s="1"/>
  <c r="AG222" i="1"/>
  <c r="B223" i="1"/>
  <c r="H223" i="1" s="1"/>
  <c r="G223" i="1"/>
  <c r="AC223" i="1"/>
  <c r="AD223" i="1"/>
  <c r="AE223" i="1"/>
  <c r="AF223" i="1" s="1"/>
  <c r="AG223" i="1"/>
  <c r="B224" i="1"/>
  <c r="E224" i="1" s="1"/>
  <c r="F224" i="1" s="1"/>
  <c r="AC224" i="1"/>
  <c r="AD224" i="1"/>
  <c r="AE224" i="1"/>
  <c r="AF224" i="1" s="1"/>
  <c r="AG224" i="1"/>
  <c r="B225" i="1"/>
  <c r="E225" i="1" s="1"/>
  <c r="F225" i="1" s="1"/>
  <c r="G225" i="1"/>
  <c r="AC225" i="1"/>
  <c r="AD225" i="1"/>
  <c r="AE225" i="1"/>
  <c r="AF225" i="1" s="1"/>
  <c r="AG225" i="1"/>
  <c r="B226" i="1"/>
  <c r="H226" i="1" s="1"/>
  <c r="AC226" i="1"/>
  <c r="AD226" i="1"/>
  <c r="AE226" i="1"/>
  <c r="AF226" i="1" s="1"/>
  <c r="AG226" i="1"/>
  <c r="B227" i="1"/>
  <c r="E227" i="1" s="1"/>
  <c r="F227" i="1" s="1"/>
  <c r="AC227" i="1"/>
  <c r="AD227" i="1"/>
  <c r="AE227" i="1"/>
  <c r="AF227" i="1" s="1"/>
  <c r="AG227" i="1"/>
  <c r="B228" i="1"/>
  <c r="AE228" i="1"/>
  <c r="AF228" i="1" s="1"/>
  <c r="AG228" i="1"/>
  <c r="B229" i="1"/>
  <c r="H229" i="1" s="1"/>
  <c r="AE229" i="1"/>
  <c r="AF229" i="1" s="1"/>
  <c r="AG229" i="1"/>
  <c r="B230" i="1"/>
  <c r="E230" i="1" s="1"/>
  <c r="F230" i="1" s="1"/>
  <c r="AE230" i="1"/>
  <c r="AF230" i="1" s="1"/>
  <c r="AG230" i="1"/>
  <c r="AG189" i="1"/>
  <c r="AG190" i="1"/>
  <c r="E192" i="1" l="1"/>
  <c r="F192" i="1" s="1"/>
  <c r="I192" i="1" s="1"/>
  <c r="L192" i="1" s="1"/>
  <c r="M192" i="1" s="1"/>
  <c r="E218" i="1"/>
  <c r="F218" i="1" s="1"/>
  <c r="E226" i="1"/>
  <c r="F226" i="1" s="1"/>
  <c r="E191" i="1"/>
  <c r="F191" i="1" s="1"/>
  <c r="I191" i="1" s="1"/>
  <c r="L191" i="1" s="1"/>
  <c r="M191" i="1" s="1"/>
  <c r="H215" i="1"/>
  <c r="H197" i="1"/>
  <c r="E200" i="1"/>
  <c r="F200" i="1" s="1"/>
  <c r="I200" i="1" s="1"/>
  <c r="L200" i="1" s="1"/>
  <c r="M200" i="1" s="1"/>
  <c r="H205" i="1"/>
  <c r="E207" i="1"/>
  <c r="F207" i="1" s="1"/>
  <c r="W194" i="1"/>
  <c r="T216" i="1"/>
  <c r="E208" i="1"/>
  <c r="F208" i="1" s="1"/>
  <c r="E199" i="1"/>
  <c r="F199" i="1" s="1"/>
  <c r="V192" i="1"/>
  <c r="X192" i="1" s="1"/>
  <c r="AA192" i="1"/>
  <c r="Z223" i="1"/>
  <c r="V223" i="1" s="1"/>
  <c r="X223" i="1" s="1"/>
  <c r="T191" i="1"/>
  <c r="S191" i="1"/>
  <c r="H221" i="1"/>
  <c r="S221" i="1" s="1"/>
  <c r="E229" i="1"/>
  <c r="F229" i="1" s="1"/>
  <c r="W200" i="1"/>
  <c r="T192" i="1"/>
  <c r="R200" i="1"/>
  <c r="S192" i="1"/>
  <c r="T200" i="1"/>
  <c r="H194" i="1"/>
  <c r="H224" i="1"/>
  <c r="G224" i="1"/>
  <c r="H213" i="1"/>
  <c r="Y192" i="1"/>
  <c r="AA200" i="1"/>
  <c r="Y195" i="1"/>
  <c r="Y193" i="1"/>
  <c r="V222" i="1"/>
  <c r="X222" i="1" s="1"/>
  <c r="AA222" i="1"/>
  <c r="W191" i="1"/>
  <c r="AA191" i="1"/>
  <c r="V191" i="1"/>
  <c r="X191" i="1" s="1"/>
  <c r="Y199" i="1"/>
  <c r="W199" i="1"/>
  <c r="H209" i="1"/>
  <c r="E209" i="1"/>
  <c r="F209" i="1" s="1"/>
  <c r="R223" i="1"/>
  <c r="H228" i="1"/>
  <c r="H227" i="1"/>
  <c r="E216" i="1"/>
  <c r="F216" i="1" s="1"/>
  <c r="I216" i="1" s="1"/>
  <c r="L216" i="1" s="1"/>
  <c r="M216" i="1" s="1"/>
  <c r="S216" i="1"/>
  <c r="T198" i="1"/>
  <c r="H195" i="1"/>
  <c r="H230" i="1"/>
  <c r="H225" i="1"/>
  <c r="J225" i="1" s="1"/>
  <c r="Z225" i="1" s="1"/>
  <c r="E206" i="1"/>
  <c r="F206" i="1" s="1"/>
  <c r="H206" i="1"/>
  <c r="Y197" i="1"/>
  <c r="H201" i="1"/>
  <c r="E214" i="1"/>
  <c r="F214" i="1" s="1"/>
  <c r="H214" i="1"/>
  <c r="E222" i="1"/>
  <c r="F222" i="1" s="1"/>
  <c r="L222" i="1" s="1"/>
  <c r="M222" i="1" s="1"/>
  <c r="R222" i="1"/>
  <c r="W196" i="1"/>
  <c r="E223" i="1"/>
  <c r="F223" i="1" s="1"/>
  <c r="S223" i="1" s="1"/>
  <c r="H196" i="1"/>
  <c r="E196" i="1"/>
  <c r="F196" i="1" s="1"/>
  <c r="H193" i="1"/>
  <c r="E193" i="1"/>
  <c r="F193" i="1" s="1"/>
  <c r="H219" i="1"/>
  <c r="E219" i="1"/>
  <c r="F219" i="1" s="1"/>
  <c r="W201" i="1"/>
  <c r="Y201" i="1"/>
  <c r="E198" i="1"/>
  <c r="F198" i="1" s="1"/>
  <c r="I198" i="1" s="1"/>
  <c r="L198" i="1" s="1"/>
  <c r="M198" i="1" s="1"/>
  <c r="R198" i="1"/>
  <c r="T222" i="1"/>
  <c r="H210" i="1"/>
  <c r="E210" i="1"/>
  <c r="F210" i="1" s="1"/>
  <c r="E228" i="1"/>
  <c r="F228" i="1" s="1"/>
  <c r="S222" i="1"/>
  <c r="E220" i="1"/>
  <c r="F220" i="1" s="1"/>
  <c r="AA216" i="1"/>
  <c r="H202" i="1"/>
  <c r="E202" i="1"/>
  <c r="F202" i="1" s="1"/>
  <c r="Y198" i="1"/>
  <c r="W198" i="1"/>
  <c r="E195" i="1"/>
  <c r="F195" i="1" s="1"/>
  <c r="E212" i="1"/>
  <c r="F212" i="1" s="1"/>
  <c r="H211" i="1"/>
  <c r="H204" i="1"/>
  <c r="E204" i="1"/>
  <c r="F204" i="1" s="1"/>
  <c r="H203" i="1"/>
  <c r="H217" i="1"/>
  <c r="H212" i="1"/>
  <c r="AA198" i="1"/>
  <c r="Z221" i="1" l="1"/>
  <c r="AA221" i="1" s="1"/>
  <c r="R224" i="1"/>
  <c r="T221" i="1"/>
  <c r="AA223" i="1"/>
  <c r="L221" i="1"/>
  <c r="M221" i="1" s="1"/>
  <c r="R221" i="1"/>
  <c r="I224" i="1"/>
  <c r="S224" i="1" s="1"/>
  <c r="J224" i="1"/>
  <c r="Z224" i="1" s="1"/>
  <c r="AA224" i="1" s="1"/>
  <c r="R225" i="1"/>
  <c r="V225" i="1"/>
  <c r="X225" i="1" s="1"/>
  <c r="AA225" i="1"/>
  <c r="I225" i="1"/>
  <c r="L223" i="1"/>
  <c r="M223" i="1" s="1"/>
  <c r="T223" i="1"/>
  <c r="B133" i="1"/>
  <c r="G196" i="1" s="1"/>
  <c r="J196" i="1" s="1"/>
  <c r="B134" i="1"/>
  <c r="B135" i="1"/>
  <c r="B136" i="1"/>
  <c r="B137" i="1"/>
  <c r="B138" i="1"/>
  <c r="B139" i="1"/>
  <c r="H139" i="1" s="1"/>
  <c r="B140" i="1"/>
  <c r="B141" i="1"/>
  <c r="G204" i="1" s="1"/>
  <c r="R204" i="1" s="1"/>
  <c r="B142" i="1"/>
  <c r="B143" i="1"/>
  <c r="G206" i="1" s="1"/>
  <c r="B144" i="1"/>
  <c r="G207" i="1" s="1"/>
  <c r="B145" i="1"/>
  <c r="G208" i="1" s="1"/>
  <c r="B146" i="1"/>
  <c r="E146" i="1" s="1"/>
  <c r="F146" i="1" s="1"/>
  <c r="B132" i="1"/>
  <c r="G195" i="1" s="1"/>
  <c r="I195" i="1" s="1"/>
  <c r="B151" i="1"/>
  <c r="H151" i="1" s="1"/>
  <c r="AC151" i="1"/>
  <c r="AD151" i="1"/>
  <c r="AE151" i="1"/>
  <c r="AF151" i="1" s="1"/>
  <c r="AG151" i="1"/>
  <c r="B152" i="1"/>
  <c r="AC152" i="1"/>
  <c r="AD152" i="1"/>
  <c r="AE152" i="1"/>
  <c r="AF152" i="1" s="1"/>
  <c r="AG152" i="1"/>
  <c r="B153" i="1"/>
  <c r="AC153" i="1"/>
  <c r="AD153" i="1"/>
  <c r="AE153" i="1"/>
  <c r="AF153" i="1" s="1"/>
  <c r="AG153" i="1"/>
  <c r="B154" i="1"/>
  <c r="I217" i="1" s="1"/>
  <c r="AC154" i="1"/>
  <c r="AD154" i="1"/>
  <c r="AE154" i="1"/>
  <c r="AF154" i="1" s="1"/>
  <c r="AG154" i="1"/>
  <c r="B155" i="1"/>
  <c r="G218" i="1" s="1"/>
  <c r="AC155" i="1"/>
  <c r="AD155" i="1"/>
  <c r="AE155" i="1"/>
  <c r="AF155" i="1" s="1"/>
  <c r="AG155" i="1"/>
  <c r="B156" i="1"/>
  <c r="H156" i="1" s="1"/>
  <c r="AC156" i="1"/>
  <c r="AD156" i="1"/>
  <c r="AE156" i="1"/>
  <c r="AF156" i="1" s="1"/>
  <c r="AG156" i="1"/>
  <c r="B157" i="1"/>
  <c r="AC157" i="1"/>
  <c r="AD157" i="1"/>
  <c r="AE157" i="1"/>
  <c r="AF157" i="1" s="1"/>
  <c r="AG157" i="1"/>
  <c r="B126" i="1"/>
  <c r="E126" i="1" s="1"/>
  <c r="AC126" i="1"/>
  <c r="AD126" i="1"/>
  <c r="AE126" i="1"/>
  <c r="AF126" i="1" s="1"/>
  <c r="AG126" i="1"/>
  <c r="B127" i="1"/>
  <c r="AC127" i="1"/>
  <c r="AD127" i="1"/>
  <c r="AE127" i="1"/>
  <c r="AF127" i="1" s="1"/>
  <c r="AG127" i="1"/>
  <c r="B128" i="1"/>
  <c r="AC128" i="1"/>
  <c r="AD128" i="1"/>
  <c r="AE128" i="1"/>
  <c r="AF128" i="1" s="1"/>
  <c r="AG128" i="1"/>
  <c r="B129" i="1"/>
  <c r="AC129" i="1"/>
  <c r="AD129" i="1"/>
  <c r="AE129" i="1"/>
  <c r="AF129" i="1" s="1"/>
  <c r="AG129" i="1"/>
  <c r="B130" i="1"/>
  <c r="R193" i="1" s="1"/>
  <c r="AC130" i="1"/>
  <c r="AD130" i="1"/>
  <c r="AE130" i="1"/>
  <c r="AF130" i="1" s="1"/>
  <c r="AG130" i="1"/>
  <c r="B131" i="1"/>
  <c r="G194" i="1" s="1"/>
  <c r="AC131" i="1"/>
  <c r="AD131" i="1"/>
  <c r="AE131" i="1"/>
  <c r="AF131" i="1" s="1"/>
  <c r="AG131" i="1"/>
  <c r="AC132" i="1"/>
  <c r="AD132" i="1"/>
  <c r="AE132" i="1"/>
  <c r="AF132" i="1" s="1"/>
  <c r="AG132" i="1"/>
  <c r="AC133" i="1"/>
  <c r="AD133" i="1"/>
  <c r="AE133" i="1"/>
  <c r="AF133" i="1" s="1"/>
  <c r="AG133" i="1"/>
  <c r="AC134" i="1"/>
  <c r="AD134" i="1"/>
  <c r="AE134" i="1"/>
  <c r="AF134" i="1" s="1"/>
  <c r="AG134" i="1"/>
  <c r="AC135" i="1"/>
  <c r="AD135" i="1"/>
  <c r="AE135" i="1"/>
  <c r="AF135" i="1" s="1"/>
  <c r="AG135" i="1"/>
  <c r="AC136" i="1"/>
  <c r="AD136" i="1"/>
  <c r="AE136" i="1"/>
  <c r="AF136" i="1" s="1"/>
  <c r="AG136" i="1"/>
  <c r="AC137" i="1"/>
  <c r="AD137" i="1"/>
  <c r="AE137" i="1"/>
  <c r="AF137" i="1" s="1"/>
  <c r="AG137" i="1"/>
  <c r="AC138" i="1"/>
  <c r="AD138" i="1"/>
  <c r="AE138" i="1"/>
  <c r="AF138" i="1" s="1"/>
  <c r="AG138" i="1"/>
  <c r="AC139" i="1"/>
  <c r="AD139" i="1"/>
  <c r="AE139" i="1"/>
  <c r="AF139" i="1" s="1"/>
  <c r="AG139" i="1"/>
  <c r="AC140" i="1"/>
  <c r="AD140" i="1"/>
  <c r="AE140" i="1"/>
  <c r="AF140" i="1" s="1"/>
  <c r="AG140" i="1"/>
  <c r="AC141" i="1"/>
  <c r="AD141" i="1"/>
  <c r="AE141" i="1"/>
  <c r="AF141" i="1" s="1"/>
  <c r="AG141" i="1"/>
  <c r="AC142" i="1"/>
  <c r="AD142" i="1"/>
  <c r="AE142" i="1"/>
  <c r="AF142" i="1" s="1"/>
  <c r="AG142" i="1"/>
  <c r="AC143" i="1"/>
  <c r="AD143" i="1"/>
  <c r="AE143" i="1"/>
  <c r="AF143" i="1" s="1"/>
  <c r="AG143" i="1"/>
  <c r="AC144" i="1"/>
  <c r="AD144" i="1"/>
  <c r="AE144" i="1"/>
  <c r="AF144" i="1" s="1"/>
  <c r="AG144" i="1"/>
  <c r="AC145" i="1"/>
  <c r="AD145" i="1"/>
  <c r="AE145" i="1"/>
  <c r="AF145" i="1" s="1"/>
  <c r="AG145" i="1"/>
  <c r="AC146" i="1"/>
  <c r="AD146" i="1"/>
  <c r="AE146" i="1"/>
  <c r="AF146" i="1" s="1"/>
  <c r="AG146" i="1"/>
  <c r="B147" i="1"/>
  <c r="G210" i="1" s="1"/>
  <c r="I210" i="1" s="1"/>
  <c r="AC147" i="1"/>
  <c r="AD147" i="1"/>
  <c r="AE147" i="1"/>
  <c r="AF147" i="1" s="1"/>
  <c r="AG147" i="1"/>
  <c r="B148" i="1"/>
  <c r="G211" i="1" s="1"/>
  <c r="J211" i="1" s="1"/>
  <c r="Z211" i="1" s="1"/>
  <c r="AC148" i="1"/>
  <c r="AD148" i="1"/>
  <c r="AE148" i="1"/>
  <c r="AF148" i="1" s="1"/>
  <c r="AG148" i="1"/>
  <c r="B149" i="1"/>
  <c r="G212" i="1" s="1"/>
  <c r="I212" i="1" s="1"/>
  <c r="AC149" i="1"/>
  <c r="AD149" i="1"/>
  <c r="AE149" i="1"/>
  <c r="AF149" i="1" s="1"/>
  <c r="AG149" i="1"/>
  <c r="B150" i="1"/>
  <c r="AC150" i="1"/>
  <c r="AD150" i="1"/>
  <c r="AE150" i="1"/>
  <c r="AF150" i="1" s="1"/>
  <c r="AG150" i="1"/>
  <c r="AG188" i="1"/>
  <c r="AG125" i="1"/>
  <c r="AD125" i="1"/>
  <c r="AC125" i="1"/>
  <c r="AD184" i="1"/>
  <c r="AD185" i="1"/>
  <c r="B125" i="1"/>
  <c r="AI49" i="1"/>
  <c r="B189" i="1"/>
  <c r="B190" i="1"/>
  <c r="E190" i="1" s="1"/>
  <c r="F190" i="1" s="1"/>
  <c r="B188" i="1"/>
  <c r="AE125" i="1"/>
  <c r="AF125" i="1" s="1"/>
  <c r="E127" i="1" l="1"/>
  <c r="H127" i="1"/>
  <c r="V221" i="1"/>
  <c r="X221" i="1" s="1"/>
  <c r="I196" i="1"/>
  <c r="L196" i="1" s="1"/>
  <c r="M196" i="1" s="1"/>
  <c r="I211" i="1"/>
  <c r="T211" i="1" s="1"/>
  <c r="K224" i="1"/>
  <c r="V224" i="1" s="1"/>
  <c r="X224" i="1" s="1"/>
  <c r="R196" i="1"/>
  <c r="G202" i="1"/>
  <c r="U202" i="1" s="1"/>
  <c r="W202" i="1" s="1"/>
  <c r="T217" i="1"/>
  <c r="S217" i="1"/>
  <c r="M217" i="1"/>
  <c r="J206" i="1"/>
  <c r="Z206" i="1" s="1"/>
  <c r="AA206" i="1" s="1"/>
  <c r="R206" i="1"/>
  <c r="I206" i="1"/>
  <c r="S206" i="1" s="1"/>
  <c r="K211" i="1"/>
  <c r="V211" i="1" s="1"/>
  <c r="X211" i="1" s="1"/>
  <c r="AA211" i="1"/>
  <c r="Z199" i="1"/>
  <c r="AA199" i="1" s="1"/>
  <c r="R199" i="1"/>
  <c r="E142" i="1"/>
  <c r="F142" i="1" s="1"/>
  <c r="G142" i="1" s="1"/>
  <c r="AC74" i="1" s="1"/>
  <c r="G205" i="1"/>
  <c r="E134" i="1"/>
  <c r="F134" i="1" s="1"/>
  <c r="G134" i="1" s="1"/>
  <c r="AC66" i="1" s="1"/>
  <c r="G197" i="1"/>
  <c r="T224" i="1"/>
  <c r="L224" i="1"/>
  <c r="M224" i="1" s="1"/>
  <c r="I194" i="1"/>
  <c r="R194" i="1"/>
  <c r="J194" i="1"/>
  <c r="Z194" i="1" s="1"/>
  <c r="G219" i="1"/>
  <c r="G220" i="1"/>
  <c r="E138" i="1"/>
  <c r="F138" i="1" s="1"/>
  <c r="G138" i="1" s="1"/>
  <c r="AC70" i="1" s="1"/>
  <c r="G201" i="1"/>
  <c r="E152" i="1"/>
  <c r="F152" i="1" s="1"/>
  <c r="G152" i="1" s="1"/>
  <c r="AC88" i="1" s="1"/>
  <c r="G215" i="1"/>
  <c r="I218" i="1"/>
  <c r="J218" i="1"/>
  <c r="Z218" i="1" s="1"/>
  <c r="AA218" i="1" s="1"/>
  <c r="R218" i="1"/>
  <c r="R210" i="1"/>
  <c r="E150" i="1"/>
  <c r="F150" i="1" s="1"/>
  <c r="G150" i="1" s="1"/>
  <c r="G213" i="1"/>
  <c r="J210" i="1"/>
  <c r="Z210" i="1" s="1"/>
  <c r="AA210" i="1" s="1"/>
  <c r="H140" i="1"/>
  <c r="G203" i="1"/>
  <c r="G214" i="1"/>
  <c r="J214" i="1" s="1"/>
  <c r="Z214" i="1" s="1"/>
  <c r="AA214" i="1" s="1"/>
  <c r="R211" i="1"/>
  <c r="R217" i="1"/>
  <c r="G209" i="1"/>
  <c r="J208" i="1"/>
  <c r="Z208" i="1" s="1"/>
  <c r="AA208" i="1" s="1"/>
  <c r="R208" i="1"/>
  <c r="I208" i="1"/>
  <c r="J207" i="1"/>
  <c r="Z207" i="1" s="1"/>
  <c r="R207" i="1"/>
  <c r="I207" i="1"/>
  <c r="J217" i="1"/>
  <c r="Z217" i="1" s="1"/>
  <c r="V217" i="1" s="1"/>
  <c r="X217" i="1" s="1"/>
  <c r="Z196" i="1"/>
  <c r="AA196" i="1" s="1"/>
  <c r="L195" i="1"/>
  <c r="M195" i="1" s="1"/>
  <c r="S195" i="1"/>
  <c r="T195" i="1"/>
  <c r="T212" i="1"/>
  <c r="L212" i="1"/>
  <c r="M212" i="1" s="1"/>
  <c r="S212" i="1"/>
  <c r="R195" i="1"/>
  <c r="L210" i="1"/>
  <c r="M210" i="1" s="1"/>
  <c r="T210" i="1"/>
  <c r="S210" i="1"/>
  <c r="I204" i="1"/>
  <c r="J195" i="1"/>
  <c r="L225" i="1"/>
  <c r="M225" i="1" s="1"/>
  <c r="T225" i="1"/>
  <c r="S225" i="1"/>
  <c r="R212" i="1"/>
  <c r="J212" i="1"/>
  <c r="Z212" i="1" s="1"/>
  <c r="J204" i="1"/>
  <c r="Z204" i="1" s="1"/>
  <c r="Z193" i="1"/>
  <c r="E125" i="1"/>
  <c r="F125" i="1" s="1"/>
  <c r="G125" i="1" s="1"/>
  <c r="AC51" i="1" s="1"/>
  <c r="E141" i="1"/>
  <c r="F141" i="1" s="1"/>
  <c r="G141" i="1" s="1"/>
  <c r="AC73" i="1" s="1"/>
  <c r="H141" i="1"/>
  <c r="E129" i="1"/>
  <c r="F129" i="1" s="1"/>
  <c r="G129" i="1" s="1"/>
  <c r="AC58" i="1" s="1"/>
  <c r="E128" i="1"/>
  <c r="F128" i="1" s="1"/>
  <c r="G128" i="1" s="1"/>
  <c r="AC57" i="1" s="1"/>
  <c r="E137" i="1"/>
  <c r="F137" i="1" s="1"/>
  <c r="G137" i="1" s="1"/>
  <c r="AC69" i="1" s="1"/>
  <c r="E136" i="1"/>
  <c r="F136" i="1" s="1"/>
  <c r="G136" i="1" s="1"/>
  <c r="AC68" i="1" s="1"/>
  <c r="E153" i="1"/>
  <c r="F153" i="1" s="1"/>
  <c r="G153" i="1" s="1"/>
  <c r="AC89" i="1" s="1"/>
  <c r="H154" i="1"/>
  <c r="E144" i="1"/>
  <c r="F144" i="1" s="1"/>
  <c r="G144" i="1" s="1"/>
  <c r="AC76" i="1" s="1"/>
  <c r="H126" i="1"/>
  <c r="E145" i="1"/>
  <c r="F145" i="1" s="1"/>
  <c r="G145" i="1" s="1"/>
  <c r="AC77" i="1" s="1"/>
  <c r="E148" i="1"/>
  <c r="F148" i="1" s="1"/>
  <c r="G148" i="1" s="1"/>
  <c r="AC82" i="1" s="1"/>
  <c r="E147" i="1"/>
  <c r="F147" i="1" s="1"/>
  <c r="G147" i="1" s="1"/>
  <c r="AC81" i="1" s="1"/>
  <c r="F126" i="1"/>
  <c r="G126" i="1" s="1"/>
  <c r="AC52" i="1" s="1"/>
  <c r="F127" i="1"/>
  <c r="G127" i="1" s="1"/>
  <c r="H155" i="1"/>
  <c r="H146" i="1"/>
  <c r="E139" i="1"/>
  <c r="F139" i="1" s="1"/>
  <c r="G139" i="1" s="1"/>
  <c r="H138" i="1"/>
  <c r="E131" i="1"/>
  <c r="F131" i="1" s="1"/>
  <c r="G131" i="1" s="1"/>
  <c r="E155" i="1"/>
  <c r="F155" i="1" s="1"/>
  <c r="G155" i="1" s="1"/>
  <c r="AC91" i="1" s="1"/>
  <c r="E154" i="1"/>
  <c r="F154" i="1" s="1"/>
  <c r="G154" i="1" s="1"/>
  <c r="AC90" i="1" s="1"/>
  <c r="E151" i="1"/>
  <c r="F151" i="1" s="1"/>
  <c r="G151" i="1" s="1"/>
  <c r="H137" i="1"/>
  <c r="H136" i="1"/>
  <c r="G146" i="1"/>
  <c r="AC78" i="1" s="1"/>
  <c r="H144" i="1"/>
  <c r="E157" i="1"/>
  <c r="F157" i="1" s="1"/>
  <c r="G157" i="1" s="1"/>
  <c r="E156" i="1"/>
  <c r="F156" i="1" s="1"/>
  <c r="G156" i="1" s="1"/>
  <c r="H145" i="1"/>
  <c r="E140" i="1"/>
  <c r="F140" i="1" s="1"/>
  <c r="G140" i="1" s="1"/>
  <c r="AC72" i="1" s="1"/>
  <c r="E132" i="1"/>
  <c r="F132" i="1" s="1"/>
  <c r="G132" i="1" s="1"/>
  <c r="H153" i="1"/>
  <c r="H152" i="1"/>
  <c r="E143" i="1"/>
  <c r="F143" i="1" s="1"/>
  <c r="G143" i="1" s="1"/>
  <c r="AC75" i="1" s="1"/>
  <c r="H143" i="1"/>
  <c r="H133" i="1"/>
  <c r="E135" i="1"/>
  <c r="F135" i="1" s="1"/>
  <c r="H135" i="1"/>
  <c r="H129" i="1"/>
  <c r="H128" i="1"/>
  <c r="H134" i="1"/>
  <c r="H148" i="1"/>
  <c r="H147" i="1"/>
  <c r="H142" i="1"/>
  <c r="U142" i="1" s="1"/>
  <c r="E149" i="1"/>
  <c r="F149" i="1" s="1"/>
  <c r="G149" i="1" s="1"/>
  <c r="AC83" i="1" s="1"/>
  <c r="H149" i="1"/>
  <c r="E133" i="1"/>
  <c r="F133" i="1" s="1"/>
  <c r="E130" i="1"/>
  <c r="F130" i="1" s="1"/>
  <c r="H130" i="1"/>
  <c r="H190" i="1"/>
  <c r="H189" i="1"/>
  <c r="E189" i="1"/>
  <c r="F189" i="1" s="1"/>
  <c r="U156" i="1" l="1"/>
  <c r="AC92" i="1"/>
  <c r="U139" i="1"/>
  <c r="AC71" i="1"/>
  <c r="AC53" i="1"/>
  <c r="AC50" i="1" s="1"/>
  <c r="AC54" i="1" s="1"/>
  <c r="AE54" i="1" s="1"/>
  <c r="U151" i="1"/>
  <c r="AC87" i="1"/>
  <c r="U147" i="1"/>
  <c r="U155" i="1"/>
  <c r="U152" i="1"/>
  <c r="U141" i="1"/>
  <c r="U143" i="1"/>
  <c r="U137" i="1"/>
  <c r="U138" i="1"/>
  <c r="U129" i="1"/>
  <c r="U136" i="1"/>
  <c r="U145" i="1"/>
  <c r="U148" i="1"/>
  <c r="U134" i="1"/>
  <c r="U144" i="1"/>
  <c r="U154" i="1"/>
  <c r="U128" i="1"/>
  <c r="U153" i="1"/>
  <c r="U149" i="1"/>
  <c r="AD211" i="1"/>
  <c r="U146" i="1"/>
  <c r="AD205" i="1"/>
  <c r="U140" i="1"/>
  <c r="AD191" i="1"/>
  <c r="U126" i="1"/>
  <c r="AD207" i="1"/>
  <c r="K206" i="1"/>
  <c r="V206" i="1" s="1"/>
  <c r="X206" i="1" s="1"/>
  <c r="AD199" i="1"/>
  <c r="S211" i="1"/>
  <c r="T196" i="1"/>
  <c r="S196" i="1"/>
  <c r="AD218" i="1"/>
  <c r="AD212" i="1"/>
  <c r="I202" i="1"/>
  <c r="S202" i="1" s="1"/>
  <c r="K208" i="1"/>
  <c r="V208" i="1" s="1"/>
  <c r="X208" i="1" s="1"/>
  <c r="AD209" i="1"/>
  <c r="T206" i="1"/>
  <c r="L211" i="1"/>
  <c r="M211" i="1" s="1"/>
  <c r="AD208" i="1"/>
  <c r="AD214" i="1"/>
  <c r="AD203" i="1"/>
  <c r="AD200" i="1"/>
  <c r="AD210" i="1"/>
  <c r="V199" i="1"/>
  <c r="X199" i="1" s="1"/>
  <c r="R202" i="1"/>
  <c r="J202" i="1"/>
  <c r="Z202" i="1" s="1"/>
  <c r="Y202" i="1"/>
  <c r="K210" i="1"/>
  <c r="V210" i="1" s="1"/>
  <c r="X210" i="1" s="1"/>
  <c r="AD221" i="1"/>
  <c r="I220" i="1"/>
  <c r="J220" i="1"/>
  <c r="Z220" i="1" s="1"/>
  <c r="AA220" i="1" s="1"/>
  <c r="R220" i="1"/>
  <c r="I214" i="1"/>
  <c r="L214" i="1" s="1"/>
  <c r="M214" i="1" s="1"/>
  <c r="K196" i="1"/>
  <c r="V196" i="1" s="1"/>
  <c r="X196" i="1" s="1"/>
  <c r="U203" i="1"/>
  <c r="R203" i="1"/>
  <c r="J203" i="1"/>
  <c r="Z203" i="1" s="1"/>
  <c r="I203" i="1"/>
  <c r="J205" i="1"/>
  <c r="Z205" i="1" s="1"/>
  <c r="AA205" i="1" s="1"/>
  <c r="R205" i="1"/>
  <c r="I205" i="1"/>
  <c r="AD193" i="1"/>
  <c r="AD220" i="1"/>
  <c r="AA217" i="1"/>
  <c r="L206" i="1"/>
  <c r="M206" i="1" s="1"/>
  <c r="AD204" i="1"/>
  <c r="R209" i="1"/>
  <c r="I209" i="1"/>
  <c r="J209" i="1"/>
  <c r="Z209" i="1" s="1"/>
  <c r="L218" i="1"/>
  <c r="M218" i="1" s="1"/>
  <c r="T218" i="1"/>
  <c r="S218" i="1"/>
  <c r="AA194" i="1"/>
  <c r="K194" i="1"/>
  <c r="V194" i="1" s="1"/>
  <c r="X194" i="1" s="1"/>
  <c r="AD194" i="1"/>
  <c r="AD217" i="1"/>
  <c r="I140" i="1"/>
  <c r="AC205" i="1" s="1"/>
  <c r="AD201" i="1"/>
  <c r="AD206" i="1"/>
  <c r="R214" i="1"/>
  <c r="T207" i="1"/>
  <c r="L207" i="1"/>
  <c r="M207" i="1" s="1"/>
  <c r="S207" i="1"/>
  <c r="AD216" i="1"/>
  <c r="R215" i="1"/>
  <c r="I215" i="1"/>
  <c r="J215" i="1"/>
  <c r="Z215" i="1" s="1"/>
  <c r="AA215" i="1" s="1"/>
  <c r="R197" i="1"/>
  <c r="I197" i="1"/>
  <c r="J197" i="1"/>
  <c r="Z197" i="1" s="1"/>
  <c r="R219" i="1"/>
  <c r="J219" i="1"/>
  <c r="Z219" i="1" s="1"/>
  <c r="AA219" i="1" s="1"/>
  <c r="I219" i="1"/>
  <c r="T194" i="1"/>
  <c r="L194" i="1"/>
  <c r="M194" i="1" s="1"/>
  <c r="S194" i="1"/>
  <c r="R156" i="1"/>
  <c r="AD202" i="1"/>
  <c r="J139" i="1"/>
  <c r="AD219" i="1"/>
  <c r="K207" i="1"/>
  <c r="V207" i="1" s="1"/>
  <c r="X207" i="1" s="1"/>
  <c r="AA207" i="1"/>
  <c r="K218" i="1"/>
  <c r="V218" i="1" s="1"/>
  <c r="X218" i="1" s="1"/>
  <c r="R213" i="1"/>
  <c r="J213" i="1"/>
  <c r="Z213" i="1" s="1"/>
  <c r="AA213" i="1" s="1"/>
  <c r="I213" i="1"/>
  <c r="R201" i="1"/>
  <c r="J201" i="1"/>
  <c r="Z201" i="1" s="1"/>
  <c r="AA201" i="1" s="1"/>
  <c r="I201" i="1"/>
  <c r="K214" i="1"/>
  <c r="V214" i="1" s="1"/>
  <c r="X214" i="1" s="1"/>
  <c r="AD195" i="1"/>
  <c r="AD213" i="1"/>
  <c r="AD198" i="1"/>
  <c r="R151" i="1"/>
  <c r="L208" i="1"/>
  <c r="M208" i="1" s="1"/>
  <c r="S208" i="1"/>
  <c r="T208" i="1"/>
  <c r="M199" i="1"/>
  <c r="T199" i="1"/>
  <c r="S199" i="1"/>
  <c r="Z195" i="1"/>
  <c r="AA195" i="1" s="1"/>
  <c r="AA204" i="1"/>
  <c r="K204" i="1"/>
  <c r="V204" i="1" s="1"/>
  <c r="X204" i="1" s="1"/>
  <c r="V193" i="1"/>
  <c r="X193" i="1" s="1"/>
  <c r="AA193" i="1"/>
  <c r="L193" i="1"/>
  <c r="M193" i="1" s="1"/>
  <c r="S193" i="1"/>
  <c r="T193" i="1"/>
  <c r="AA212" i="1"/>
  <c r="K212" i="1"/>
  <c r="V212" i="1" s="1"/>
  <c r="X212" i="1" s="1"/>
  <c r="L204" i="1"/>
  <c r="M204" i="1" s="1"/>
  <c r="S204" i="1"/>
  <c r="T204" i="1"/>
  <c r="J154" i="1"/>
  <c r="AD90" i="1" s="1"/>
  <c r="J126" i="1"/>
  <c r="AD52" i="1" s="1"/>
  <c r="I155" i="1"/>
  <c r="J147" i="1"/>
  <c r="AD81" i="1" s="1"/>
  <c r="J146" i="1"/>
  <c r="AD78" i="1" s="1"/>
  <c r="R149" i="1"/>
  <c r="J138" i="1"/>
  <c r="AD70" i="1" s="1"/>
  <c r="R139" i="1"/>
  <c r="R136" i="1"/>
  <c r="R153" i="1"/>
  <c r="I128" i="1"/>
  <c r="AC193" i="1" s="1"/>
  <c r="R137" i="1"/>
  <c r="J148" i="1"/>
  <c r="AD82" i="1" s="1"/>
  <c r="R143" i="1"/>
  <c r="J145" i="1"/>
  <c r="AD77" i="1" s="1"/>
  <c r="J129" i="1"/>
  <c r="AD58" i="1" s="1"/>
  <c r="R155" i="1"/>
  <c r="J137" i="1"/>
  <c r="AD69" i="1" s="1"/>
  <c r="I139" i="1"/>
  <c r="AC204" i="1" s="1"/>
  <c r="I141" i="1"/>
  <c r="AC206" i="1" s="1"/>
  <c r="J144" i="1"/>
  <c r="AD76" i="1" s="1"/>
  <c r="R152" i="1"/>
  <c r="I138" i="1"/>
  <c r="AC203" i="1" s="1"/>
  <c r="J151" i="1"/>
  <c r="AD87" i="1" s="1"/>
  <c r="R144" i="1"/>
  <c r="I146" i="1"/>
  <c r="AC211" i="1" s="1"/>
  <c r="R146" i="1"/>
  <c r="I136" i="1"/>
  <c r="AC201" i="1" s="1"/>
  <c r="J136" i="1"/>
  <c r="AD68" i="1" s="1"/>
  <c r="R142" i="1"/>
  <c r="I151" i="1"/>
  <c r="AC216" i="1" s="1"/>
  <c r="I144" i="1"/>
  <c r="AC209" i="1" s="1"/>
  <c r="I156" i="1"/>
  <c r="AC221" i="1" s="1"/>
  <c r="R134" i="1"/>
  <c r="R138" i="1"/>
  <c r="I137" i="1"/>
  <c r="AC202" i="1" s="1"/>
  <c r="J142" i="1"/>
  <c r="AD74" i="1" s="1"/>
  <c r="I145" i="1"/>
  <c r="AC210" i="1" s="1"/>
  <c r="R154" i="1"/>
  <c r="J156" i="1"/>
  <c r="AD92" i="1" s="1"/>
  <c r="J155" i="1"/>
  <c r="AD91" i="1" s="1"/>
  <c r="R145" i="1"/>
  <c r="R126" i="1"/>
  <c r="I154" i="1"/>
  <c r="AC219" i="1" s="1"/>
  <c r="I147" i="1"/>
  <c r="AC212" i="1" s="1"/>
  <c r="J152" i="1"/>
  <c r="AD88" i="1" s="1"/>
  <c r="J153" i="1"/>
  <c r="AD89" i="1" s="1"/>
  <c r="I152" i="1"/>
  <c r="AC217" i="1" s="1"/>
  <c r="I153" i="1"/>
  <c r="AC218" i="1" s="1"/>
  <c r="I148" i="1"/>
  <c r="AC213" i="1" s="1"/>
  <c r="G130" i="1"/>
  <c r="I134" i="1"/>
  <c r="AC199" i="1" s="1"/>
  <c r="I126" i="1"/>
  <c r="AC191" i="1" s="1"/>
  <c r="R147" i="1"/>
  <c r="J149" i="1"/>
  <c r="AD83" i="1" s="1"/>
  <c r="R129" i="1"/>
  <c r="I129" i="1"/>
  <c r="AC194" i="1" s="1"/>
  <c r="J141" i="1"/>
  <c r="AD73" i="1" s="1"/>
  <c r="R141" i="1"/>
  <c r="J143" i="1"/>
  <c r="AD75" i="1" s="1"/>
  <c r="J140" i="1"/>
  <c r="AD72" i="1" s="1"/>
  <c r="G135" i="1"/>
  <c r="I149" i="1"/>
  <c r="AC214" i="1" s="1"/>
  <c r="J128" i="1"/>
  <c r="AD57" i="1" s="1"/>
  <c r="R128" i="1"/>
  <c r="R140" i="1"/>
  <c r="G133" i="1"/>
  <c r="I143" i="1"/>
  <c r="AC208" i="1" s="1"/>
  <c r="J134" i="1"/>
  <c r="AD66" i="1" s="1"/>
  <c r="R148" i="1"/>
  <c r="I142" i="1"/>
  <c r="AC207" i="1" s="1"/>
  <c r="U130" i="1" l="1"/>
  <c r="AC59" i="1"/>
  <c r="U135" i="1"/>
  <c r="AC67" i="1"/>
  <c r="U133" i="1"/>
  <c r="AC65" i="1"/>
  <c r="Z139" i="1"/>
  <c r="K139" i="1" s="1"/>
  <c r="AF71" i="1" s="1"/>
  <c r="AD71" i="1"/>
  <c r="K215" i="1"/>
  <c r="V215" i="1" s="1"/>
  <c r="X215" i="1" s="1"/>
  <c r="T202" i="1"/>
  <c r="L202" i="1"/>
  <c r="M202" i="1" s="1"/>
  <c r="K205" i="1"/>
  <c r="V205" i="1" s="1"/>
  <c r="X205" i="1" s="1"/>
  <c r="K219" i="1"/>
  <c r="V219" i="1" s="1"/>
  <c r="X219" i="1" s="1"/>
  <c r="K195" i="1"/>
  <c r="V195" i="1" s="1"/>
  <c r="X195" i="1" s="1"/>
  <c r="S214" i="1"/>
  <c r="S140" i="1"/>
  <c r="K220" i="1"/>
  <c r="V220" i="1" s="1"/>
  <c r="X220" i="1" s="1"/>
  <c r="T214" i="1"/>
  <c r="K202" i="1"/>
  <c r="V202" i="1" s="1"/>
  <c r="X202" i="1" s="1"/>
  <c r="AA202" i="1"/>
  <c r="AA209" i="1"/>
  <c r="K209" i="1"/>
  <c r="V209" i="1" s="1"/>
  <c r="X209" i="1" s="1"/>
  <c r="K201" i="1"/>
  <c r="V201" i="1" s="1"/>
  <c r="X201" i="1" s="1"/>
  <c r="S213" i="1"/>
  <c r="T213" i="1"/>
  <c r="L213" i="1"/>
  <c r="M213" i="1" s="1"/>
  <c r="T205" i="1"/>
  <c r="L205" i="1"/>
  <c r="M205" i="1" s="1"/>
  <c r="S205" i="1"/>
  <c r="R133" i="1"/>
  <c r="K213" i="1"/>
  <c r="V213" i="1" s="1"/>
  <c r="X213" i="1" s="1"/>
  <c r="T219" i="1"/>
  <c r="L219" i="1"/>
  <c r="M219" i="1" s="1"/>
  <c r="S219" i="1"/>
  <c r="L215" i="1"/>
  <c r="M215" i="1" s="1"/>
  <c r="T215" i="1"/>
  <c r="S215" i="1"/>
  <c r="K197" i="1"/>
  <c r="V197" i="1" s="1"/>
  <c r="X197" i="1" s="1"/>
  <c r="AA197" i="1"/>
  <c r="S197" i="1"/>
  <c r="L197" i="1"/>
  <c r="M197" i="1" s="1"/>
  <c r="T197" i="1"/>
  <c r="Y203" i="1"/>
  <c r="W203" i="1"/>
  <c r="L201" i="1"/>
  <c r="M201" i="1" s="1"/>
  <c r="S201" i="1"/>
  <c r="T201" i="1"/>
  <c r="AA203" i="1"/>
  <c r="K203" i="1"/>
  <c r="V203" i="1" s="1"/>
  <c r="X203" i="1" s="1"/>
  <c r="L140" i="1"/>
  <c r="M140" i="1" s="1"/>
  <c r="L209" i="1"/>
  <c r="M209" i="1" s="1"/>
  <c r="T209" i="1"/>
  <c r="S209" i="1"/>
  <c r="R135" i="1"/>
  <c r="T140" i="1"/>
  <c r="S203" i="1"/>
  <c r="L203" i="1"/>
  <c r="M203" i="1" s="1"/>
  <c r="T203" i="1"/>
  <c r="L220" i="1"/>
  <c r="M220" i="1" s="1"/>
  <c r="T220" i="1"/>
  <c r="S220" i="1"/>
  <c r="Z154" i="1"/>
  <c r="K154" i="1" s="1"/>
  <c r="AF90" i="1" s="1"/>
  <c r="Z155" i="1"/>
  <c r="AA155" i="1" s="1"/>
  <c r="Z152" i="1"/>
  <c r="K152" i="1" s="1"/>
  <c r="AF88" i="1" s="1"/>
  <c r="Z156" i="1"/>
  <c r="AA156" i="1" s="1"/>
  <c r="Z151" i="1"/>
  <c r="AA151" i="1" s="1"/>
  <c r="Z153" i="1"/>
  <c r="K153" i="1" s="1"/>
  <c r="AF89" i="1" s="1"/>
  <c r="Z148" i="1"/>
  <c r="AA148" i="1" s="1"/>
  <c r="Z149" i="1"/>
  <c r="AA149" i="1" s="1"/>
  <c r="Z147" i="1"/>
  <c r="AA147" i="1" s="1"/>
  <c r="Z140" i="1"/>
  <c r="K140" i="1" s="1"/>
  <c r="AF72" i="1" s="1"/>
  <c r="Z143" i="1"/>
  <c r="AA143" i="1" s="1"/>
  <c r="Z142" i="1"/>
  <c r="AA142" i="1" s="1"/>
  <c r="Z144" i="1"/>
  <c r="AA144" i="1" s="1"/>
  <c r="Z137" i="1"/>
  <c r="K137" i="1" s="1"/>
  <c r="AF69" i="1" s="1"/>
  <c r="Z145" i="1"/>
  <c r="K145" i="1" s="1"/>
  <c r="Z136" i="1"/>
  <c r="AA136" i="1" s="1"/>
  <c r="Z146" i="1"/>
  <c r="K146" i="1" s="1"/>
  <c r="AF78" i="1" s="1"/>
  <c r="Z141" i="1"/>
  <c r="AA141" i="1" s="1"/>
  <c r="Z138" i="1"/>
  <c r="AA138" i="1" s="1"/>
  <c r="Z134" i="1"/>
  <c r="AA134" i="1" s="1"/>
  <c r="T155" i="1"/>
  <c r="AC220" i="1"/>
  <c r="Z129" i="1"/>
  <c r="AA129" i="1" s="1"/>
  <c r="Z128" i="1"/>
  <c r="AA128" i="1" s="1"/>
  <c r="Z126" i="1"/>
  <c r="AA126" i="1" s="1"/>
  <c r="S155" i="1"/>
  <c r="L155" i="1"/>
  <c r="M155" i="1" s="1"/>
  <c r="J130" i="1"/>
  <c r="AD59" i="1" s="1"/>
  <c r="S156" i="1"/>
  <c r="T138" i="1"/>
  <c r="S141" i="1"/>
  <c r="L128" i="1"/>
  <c r="M128" i="1" s="1"/>
  <c r="L139" i="1"/>
  <c r="M139" i="1" s="1"/>
  <c r="T147" i="1"/>
  <c r="S151" i="1"/>
  <c r="T141" i="1"/>
  <c r="T128" i="1"/>
  <c r="S128" i="1"/>
  <c r="S138" i="1"/>
  <c r="L138" i="1"/>
  <c r="M138" i="1" s="1"/>
  <c r="S139" i="1"/>
  <c r="T156" i="1"/>
  <c r="L156" i="1"/>
  <c r="M156" i="1" s="1"/>
  <c r="T151" i="1"/>
  <c r="L151" i="1"/>
  <c r="M151" i="1" s="1"/>
  <c r="T139" i="1"/>
  <c r="S147" i="1"/>
  <c r="L141" i="1"/>
  <c r="M141" i="1" s="1"/>
  <c r="R130" i="1"/>
  <c r="L144" i="1"/>
  <c r="M144" i="1" s="1"/>
  <c r="S144" i="1"/>
  <c r="T144" i="1"/>
  <c r="S136" i="1"/>
  <c r="T136" i="1"/>
  <c r="L136" i="1"/>
  <c r="M136" i="1" s="1"/>
  <c r="L146" i="1"/>
  <c r="M146" i="1" s="1"/>
  <c r="S146" i="1"/>
  <c r="T146" i="1"/>
  <c r="L145" i="1"/>
  <c r="M145" i="1" s="1"/>
  <c r="S145" i="1"/>
  <c r="T145" i="1"/>
  <c r="J135" i="1"/>
  <c r="AD67" i="1" s="1"/>
  <c r="L137" i="1"/>
  <c r="M137" i="1" s="1"/>
  <c r="S137" i="1"/>
  <c r="T137" i="1"/>
  <c r="L147" i="1"/>
  <c r="M147" i="1" s="1"/>
  <c r="L154" i="1"/>
  <c r="M154" i="1" s="1"/>
  <c r="T154" i="1"/>
  <c r="S154" i="1"/>
  <c r="L152" i="1"/>
  <c r="M152" i="1" s="1"/>
  <c r="S152" i="1"/>
  <c r="T152" i="1"/>
  <c r="L153" i="1"/>
  <c r="M153" i="1" s="1"/>
  <c r="T153" i="1"/>
  <c r="S153" i="1"/>
  <c r="L126" i="1"/>
  <c r="M126" i="1" s="1"/>
  <c r="S126" i="1"/>
  <c r="T126" i="1"/>
  <c r="I135" i="1"/>
  <c r="AC200" i="1" s="1"/>
  <c r="L142" i="1"/>
  <c r="M142" i="1" s="1"/>
  <c r="S142" i="1"/>
  <c r="T142" i="1"/>
  <c r="L143" i="1"/>
  <c r="M143" i="1" s="1"/>
  <c r="S143" i="1"/>
  <c r="T143" i="1"/>
  <c r="L134" i="1"/>
  <c r="M134" i="1" s="1"/>
  <c r="S134" i="1"/>
  <c r="T134" i="1"/>
  <c r="I130" i="1"/>
  <c r="AC195" i="1" s="1"/>
  <c r="L148" i="1"/>
  <c r="M148" i="1" s="1"/>
  <c r="S148" i="1"/>
  <c r="T148" i="1"/>
  <c r="J133" i="1"/>
  <c r="AD65" i="1" s="1"/>
  <c r="I133" i="1"/>
  <c r="AC198" i="1" s="1"/>
  <c r="L149" i="1"/>
  <c r="M149" i="1" s="1"/>
  <c r="S149" i="1"/>
  <c r="T149" i="1"/>
  <c r="L129" i="1"/>
  <c r="M129" i="1" s="1"/>
  <c r="S129" i="1"/>
  <c r="T129" i="1"/>
  <c r="V139" i="1" l="1"/>
  <c r="X139" i="1" s="1"/>
  <c r="V145" i="1"/>
  <c r="X145" i="1" s="1"/>
  <c r="AF77" i="1"/>
  <c r="AA139" i="1"/>
  <c r="K156" i="1"/>
  <c r="K151" i="1"/>
  <c r="AA154" i="1"/>
  <c r="K155" i="1"/>
  <c r="AA152" i="1"/>
  <c r="V152" i="1"/>
  <c r="X152" i="1" s="1"/>
  <c r="AA153" i="1"/>
  <c r="V154" i="1"/>
  <c r="X154" i="1" s="1"/>
  <c r="K149" i="1"/>
  <c r="AF83" i="1" s="1"/>
  <c r="AA140" i="1"/>
  <c r="AA137" i="1"/>
  <c r="K147" i="1"/>
  <c r="AF81" i="1" s="1"/>
  <c r="V137" i="1"/>
  <c r="X137" i="1" s="1"/>
  <c r="K141" i="1"/>
  <c r="K148" i="1"/>
  <c r="V153" i="1"/>
  <c r="X153" i="1" s="1"/>
  <c r="K138" i="1"/>
  <c r="K143" i="1"/>
  <c r="AA145" i="1"/>
  <c r="AA146" i="1"/>
  <c r="K144" i="1"/>
  <c r="K136" i="1"/>
  <c r="Z135" i="1"/>
  <c r="AA135" i="1" s="1"/>
  <c r="V146" i="1"/>
  <c r="X146" i="1" s="1"/>
  <c r="K142" i="1"/>
  <c r="AF74" i="1" s="1"/>
  <c r="V140" i="1"/>
  <c r="X140" i="1" s="1"/>
  <c r="K134" i="1"/>
  <c r="AF66" i="1" s="1"/>
  <c r="K129" i="1"/>
  <c r="AF58" i="1" s="1"/>
  <c r="Z133" i="1"/>
  <c r="AA133" i="1" s="1"/>
  <c r="Z130" i="1"/>
  <c r="AA130" i="1" s="1"/>
  <c r="K128" i="1"/>
  <c r="AF57" i="1" s="1"/>
  <c r="K126" i="1"/>
  <c r="AF52" i="1" s="1"/>
  <c r="L135" i="1"/>
  <c r="M135" i="1" s="1"/>
  <c r="S135" i="1"/>
  <c r="T135" i="1"/>
  <c r="L133" i="1"/>
  <c r="M133" i="1" s="1"/>
  <c r="S133" i="1"/>
  <c r="T133" i="1"/>
  <c r="L130" i="1"/>
  <c r="M130" i="1" s="1"/>
  <c r="S130" i="1"/>
  <c r="T130" i="1"/>
  <c r="E171" i="1"/>
  <c r="F171" i="1" s="1"/>
  <c r="AE171" i="1"/>
  <c r="AF171" i="1" s="1"/>
  <c r="AG171" i="1"/>
  <c r="AC171" i="1"/>
  <c r="E172" i="1"/>
  <c r="F172" i="1" s="1"/>
  <c r="AE172" i="1"/>
  <c r="AF172" i="1" s="1"/>
  <c r="AG172" i="1"/>
  <c r="AC172" i="1"/>
  <c r="E173" i="1"/>
  <c r="F173" i="1" s="1"/>
  <c r="AE173" i="1"/>
  <c r="AF173" i="1" s="1"/>
  <c r="AG173" i="1"/>
  <c r="AC173" i="1"/>
  <c r="H108" i="1"/>
  <c r="E108" i="1"/>
  <c r="AE108" i="1"/>
  <c r="AF108" i="1" s="1"/>
  <c r="AG108" i="1"/>
  <c r="AC108" i="1"/>
  <c r="AD108" i="1"/>
  <c r="E109" i="1"/>
  <c r="AE109" i="1"/>
  <c r="AF109" i="1" s="1"/>
  <c r="H109" i="1"/>
  <c r="AG109" i="1"/>
  <c r="AC109" i="1"/>
  <c r="AD109" i="1"/>
  <c r="E110" i="1"/>
  <c r="AE110" i="1"/>
  <c r="AF110" i="1" s="1"/>
  <c r="H110" i="1"/>
  <c r="AG110" i="1"/>
  <c r="AC110" i="1"/>
  <c r="AD110" i="1"/>
  <c r="AE184" i="1"/>
  <c r="AF184" i="1" s="1"/>
  <c r="B120" i="1"/>
  <c r="AE120" i="1"/>
  <c r="AF120" i="1" s="1"/>
  <c r="B123" i="1"/>
  <c r="E123" i="1" s="1"/>
  <c r="AC183" i="1"/>
  <c r="B118" i="1"/>
  <c r="AE183" i="1"/>
  <c r="AF183" i="1" s="1"/>
  <c r="AG183" i="1"/>
  <c r="B183" i="1"/>
  <c r="H183" i="1" s="1"/>
  <c r="B163" i="1"/>
  <c r="B164" i="1"/>
  <c r="B165" i="1"/>
  <c r="B166" i="1"/>
  <c r="B167" i="1"/>
  <c r="B168" i="1"/>
  <c r="H168" i="1" s="1"/>
  <c r="B169" i="1"/>
  <c r="H169" i="1" s="1"/>
  <c r="B170" i="1"/>
  <c r="B174" i="1"/>
  <c r="H174" i="1" s="1"/>
  <c r="B175" i="1"/>
  <c r="H175" i="1" s="1"/>
  <c r="B176" i="1"/>
  <c r="H176" i="1" s="1"/>
  <c r="B177" i="1"/>
  <c r="B178" i="1"/>
  <c r="H178" i="1" s="1"/>
  <c r="B179" i="1"/>
  <c r="H179" i="1" s="1"/>
  <c r="B180" i="1"/>
  <c r="H180" i="1" s="1"/>
  <c r="B181" i="1"/>
  <c r="B182" i="1"/>
  <c r="H182" i="1" s="1"/>
  <c r="B122" i="1"/>
  <c r="E122" i="1" s="1"/>
  <c r="AE122" i="1"/>
  <c r="AF122" i="1" s="1"/>
  <c r="B100" i="1"/>
  <c r="H100" i="1" s="1"/>
  <c r="AE100" i="1"/>
  <c r="AF100" i="1" s="1"/>
  <c r="B119" i="1"/>
  <c r="AE119" i="1"/>
  <c r="AF119" i="1" s="1"/>
  <c r="B115" i="1"/>
  <c r="AE115" i="1"/>
  <c r="AF115" i="1" s="1"/>
  <c r="B104" i="1"/>
  <c r="H104" i="1" s="1"/>
  <c r="AE104" i="1"/>
  <c r="AF104" i="1" s="1"/>
  <c r="B121" i="1"/>
  <c r="H121" i="1" s="1"/>
  <c r="AE121" i="1"/>
  <c r="AF121" i="1" s="1"/>
  <c r="B124" i="1"/>
  <c r="H124" i="1" s="1"/>
  <c r="AE124" i="1"/>
  <c r="AF124" i="1" s="1"/>
  <c r="AD120" i="1"/>
  <c r="AC120" i="1"/>
  <c r="AG120" i="1"/>
  <c r="E188" i="1"/>
  <c r="F188" i="1" s="1"/>
  <c r="B184" i="1"/>
  <c r="B185" i="1"/>
  <c r="B186" i="1"/>
  <c r="H186" i="1" s="1"/>
  <c r="B187" i="1"/>
  <c r="H187" i="1" s="1"/>
  <c r="AE123" i="1"/>
  <c r="AF123" i="1" s="1"/>
  <c r="O7" i="3"/>
  <c r="AE188" i="1"/>
  <c r="AF188" i="1" s="1"/>
  <c r="E38" i="1"/>
  <c r="I38" i="1"/>
  <c r="J38" i="1"/>
  <c r="B101" i="1"/>
  <c r="E101" i="1" s="1"/>
  <c r="B102" i="1"/>
  <c r="H102" i="1" s="1"/>
  <c r="B103" i="1"/>
  <c r="H103" i="1" s="1"/>
  <c r="B105" i="1"/>
  <c r="H105" i="1" s="1"/>
  <c r="B106" i="1"/>
  <c r="E106" i="1" s="1"/>
  <c r="B107" i="1"/>
  <c r="B111" i="1"/>
  <c r="H111" i="1" s="1"/>
  <c r="B112" i="1"/>
  <c r="H112" i="1" s="1"/>
  <c r="B113" i="1"/>
  <c r="H113" i="1" s="1"/>
  <c r="B114" i="1"/>
  <c r="H114" i="1" s="1"/>
  <c r="B116" i="1"/>
  <c r="H116" i="1" s="1"/>
  <c r="B117" i="1"/>
  <c r="AE163" i="1"/>
  <c r="AF163" i="1" s="1"/>
  <c r="AE164" i="1"/>
  <c r="AF164" i="1" s="1"/>
  <c r="AE165" i="1"/>
  <c r="AF165" i="1" s="1"/>
  <c r="AE166" i="1"/>
  <c r="AF166" i="1" s="1"/>
  <c r="AE167" i="1"/>
  <c r="AF167" i="1" s="1"/>
  <c r="AE168" i="1"/>
  <c r="AF168" i="1" s="1"/>
  <c r="AE169" i="1"/>
  <c r="AF169" i="1" s="1"/>
  <c r="AE170" i="1"/>
  <c r="AF170" i="1" s="1"/>
  <c r="AE174" i="1"/>
  <c r="AF174" i="1" s="1"/>
  <c r="AE175" i="1"/>
  <c r="AF175" i="1" s="1"/>
  <c r="AE176" i="1"/>
  <c r="AF176" i="1" s="1"/>
  <c r="AE177" i="1"/>
  <c r="AF177" i="1" s="1"/>
  <c r="AE178" i="1"/>
  <c r="AF178" i="1" s="1"/>
  <c r="AE179" i="1"/>
  <c r="AF179" i="1" s="1"/>
  <c r="AE180" i="1"/>
  <c r="AF180" i="1" s="1"/>
  <c r="AE181" i="1"/>
  <c r="AF181" i="1" s="1"/>
  <c r="AE182" i="1"/>
  <c r="AF182" i="1" s="1"/>
  <c r="AE185" i="1"/>
  <c r="AF185" i="1" s="1"/>
  <c r="AE186" i="1"/>
  <c r="AF186" i="1" s="1"/>
  <c r="AE187" i="1"/>
  <c r="AF187" i="1" s="1"/>
  <c r="AG163" i="1"/>
  <c r="AG164" i="1"/>
  <c r="AG165" i="1"/>
  <c r="AG166" i="1"/>
  <c r="AG167" i="1"/>
  <c r="AG168" i="1"/>
  <c r="AG169" i="1"/>
  <c r="AG170" i="1"/>
  <c r="AG174" i="1"/>
  <c r="AG175" i="1"/>
  <c r="AG176" i="1"/>
  <c r="AG177" i="1"/>
  <c r="AG178" i="1"/>
  <c r="AG179" i="1"/>
  <c r="AG180" i="1"/>
  <c r="AG181" i="1"/>
  <c r="AG182" i="1"/>
  <c r="AG184" i="1"/>
  <c r="AG185" i="1"/>
  <c r="AG186" i="1"/>
  <c r="AG187" i="1"/>
  <c r="AC163" i="1"/>
  <c r="AC164" i="1"/>
  <c r="AC165" i="1"/>
  <c r="AC166" i="1"/>
  <c r="AC167" i="1"/>
  <c r="AC168" i="1"/>
  <c r="AC169" i="1"/>
  <c r="AC170" i="1"/>
  <c r="AC174" i="1"/>
  <c r="AC175" i="1"/>
  <c r="AC176" i="1"/>
  <c r="AC177" i="1"/>
  <c r="AC178" i="1"/>
  <c r="AC179" i="1"/>
  <c r="AC180" i="1"/>
  <c r="AC181" i="1"/>
  <c r="AC182" i="1"/>
  <c r="AC184" i="1"/>
  <c r="AC185" i="1"/>
  <c r="AC186" i="1"/>
  <c r="AC187" i="1"/>
  <c r="AC188" i="1"/>
  <c r="AC189" i="1"/>
  <c r="AE190" i="1"/>
  <c r="AF190" i="1" s="1"/>
  <c r="G190" i="1" s="1"/>
  <c r="AE189" i="1"/>
  <c r="AF189" i="1" s="1"/>
  <c r="G189" i="1" s="1"/>
  <c r="AE118" i="1"/>
  <c r="AF118" i="1" s="1"/>
  <c r="AE117" i="1"/>
  <c r="AF117" i="1" s="1"/>
  <c r="AE116" i="1"/>
  <c r="AF116" i="1" s="1"/>
  <c r="AE114" i="1"/>
  <c r="AF114" i="1" s="1"/>
  <c r="AE113" i="1"/>
  <c r="AF113" i="1" s="1"/>
  <c r="AE112" i="1"/>
  <c r="AF112" i="1" s="1"/>
  <c r="AE111" i="1"/>
  <c r="AF111" i="1" s="1"/>
  <c r="AE107" i="1"/>
  <c r="AF107" i="1" s="1"/>
  <c r="AE106" i="1"/>
  <c r="AF106" i="1" s="1"/>
  <c r="AE105" i="1"/>
  <c r="AF105" i="1" s="1"/>
  <c r="AE103" i="1"/>
  <c r="AF103" i="1" s="1"/>
  <c r="AE102" i="1"/>
  <c r="AF102" i="1" s="1"/>
  <c r="AE101" i="1"/>
  <c r="AF101" i="1" s="1"/>
  <c r="Y162" i="1"/>
  <c r="X162" i="1"/>
  <c r="G7" i="2"/>
  <c r="C7" i="2"/>
  <c r="D7" i="2" s="1"/>
  <c r="B43" i="3"/>
  <c r="C43" i="3" s="1"/>
  <c r="C42" i="3"/>
  <c r="H26" i="3"/>
  <c r="I26" i="3" s="1"/>
  <c r="I25" i="3"/>
  <c r="T9" i="3"/>
  <c r="T10" i="3" s="1"/>
  <c r="Q9" i="3"/>
  <c r="R9" i="3" s="1"/>
  <c r="Q10" i="3"/>
  <c r="R10" i="3" s="1"/>
  <c r="K9" i="3"/>
  <c r="N9" i="3" s="1"/>
  <c r="O9" i="3" s="1"/>
  <c r="I9" i="3"/>
  <c r="H9" i="3"/>
  <c r="H10" i="3" s="1"/>
  <c r="E9" i="3"/>
  <c r="F9" i="3" s="1"/>
  <c r="B9" i="3"/>
  <c r="C9" i="3" s="1"/>
  <c r="B10" i="3"/>
  <c r="U8" i="3"/>
  <c r="R8" i="3"/>
  <c r="N8" i="3"/>
  <c r="O8" i="3" s="1"/>
  <c r="L8" i="3"/>
  <c r="I8" i="3"/>
  <c r="F8" i="3"/>
  <c r="C8" i="3"/>
  <c r="U7" i="3"/>
  <c r="R7" i="3"/>
  <c r="L7" i="3"/>
  <c r="I7" i="3"/>
  <c r="F7" i="3"/>
  <c r="C7" i="3"/>
  <c r="B50" i="2"/>
  <c r="C50" i="2" s="1"/>
  <c r="D50" i="2" s="1"/>
  <c r="B51" i="2"/>
  <c r="C49" i="2"/>
  <c r="D49" i="2" s="1"/>
  <c r="L34" i="2"/>
  <c r="N33" i="2"/>
  <c r="I22" i="2"/>
  <c r="I23" i="2" s="1"/>
  <c r="J21" i="2"/>
  <c r="J20" i="2"/>
  <c r="S9" i="2"/>
  <c r="T9" i="2" s="1"/>
  <c r="P9" i="2"/>
  <c r="P10" i="2" s="1"/>
  <c r="P11" i="2" s="1"/>
  <c r="L9" i="2"/>
  <c r="L10" i="2" s="1"/>
  <c r="L11" i="2" s="1"/>
  <c r="L37" i="2" s="1"/>
  <c r="I9" i="2"/>
  <c r="I10" i="2"/>
  <c r="F9" i="2"/>
  <c r="G9" i="2" s="1"/>
  <c r="B9" i="2"/>
  <c r="C9" i="2" s="1"/>
  <c r="D9" i="2" s="1"/>
  <c r="T8" i="2"/>
  <c r="Q8" i="2"/>
  <c r="N8" i="2"/>
  <c r="N34" i="2"/>
  <c r="J8" i="2"/>
  <c r="G8" i="2"/>
  <c r="C8" i="2"/>
  <c r="D8" i="2" s="1"/>
  <c r="T7" i="2"/>
  <c r="Q7" i="2"/>
  <c r="N7" i="2"/>
  <c r="J7" i="2"/>
  <c r="H27" i="3"/>
  <c r="J9" i="2"/>
  <c r="N9" i="2"/>
  <c r="N35" i="2" s="1"/>
  <c r="AD124" i="1"/>
  <c r="AC121" i="1"/>
  <c r="AC122" i="1"/>
  <c r="AC123" i="1"/>
  <c r="AC124" i="1"/>
  <c r="AD121" i="1"/>
  <c r="AD122" i="1"/>
  <c r="AC119" i="1"/>
  <c r="AC118" i="1"/>
  <c r="AC117" i="1"/>
  <c r="AC116" i="1"/>
  <c r="AC115" i="1"/>
  <c r="AC114" i="1"/>
  <c r="AC113" i="1"/>
  <c r="AC112" i="1"/>
  <c r="AC111" i="1"/>
  <c r="AC107" i="1"/>
  <c r="AC106" i="1"/>
  <c r="AC105" i="1"/>
  <c r="AC104" i="1"/>
  <c r="AC103" i="1"/>
  <c r="AC102" i="1"/>
  <c r="AC101" i="1"/>
  <c r="AC100" i="1"/>
  <c r="AG124" i="1"/>
  <c r="AG123" i="1"/>
  <c r="AG122" i="1"/>
  <c r="AG121" i="1"/>
  <c r="AG119" i="1"/>
  <c r="AG118" i="1"/>
  <c r="AG117" i="1"/>
  <c r="AG116" i="1"/>
  <c r="AG115" i="1"/>
  <c r="AG114" i="1"/>
  <c r="AG113" i="1"/>
  <c r="AG112" i="1"/>
  <c r="AG111" i="1"/>
  <c r="AG107" i="1"/>
  <c r="AG106" i="1"/>
  <c r="AG105" i="1"/>
  <c r="AG104" i="1"/>
  <c r="AG103" i="1"/>
  <c r="AG102" i="1"/>
  <c r="AG101" i="1"/>
  <c r="AG100" i="1"/>
  <c r="H15" i="1"/>
  <c r="Y99" i="1"/>
  <c r="X99" i="1"/>
  <c r="AD117" i="1"/>
  <c r="AD106" i="1"/>
  <c r="AD102" i="1"/>
  <c r="AD113" i="1"/>
  <c r="AD118" i="1"/>
  <c r="AD114" i="1"/>
  <c r="AD107" i="1"/>
  <c r="AD103" i="1"/>
  <c r="AD119" i="1"/>
  <c r="AD115" i="1"/>
  <c r="AD111" i="1"/>
  <c r="AD104" i="1"/>
  <c r="AD100" i="1"/>
  <c r="AD116" i="1"/>
  <c r="AD112" i="1"/>
  <c r="AD105" i="1"/>
  <c r="AD101" i="1"/>
  <c r="AD123" i="1"/>
  <c r="Q11" i="3" l="1"/>
  <c r="Q12" i="3" s="1"/>
  <c r="F10" i="2"/>
  <c r="S10" i="2"/>
  <c r="L35" i="2"/>
  <c r="U9" i="3"/>
  <c r="AG72" i="1"/>
  <c r="AH72" i="1" s="1"/>
  <c r="J22" i="2"/>
  <c r="Q9" i="2"/>
  <c r="B10" i="2"/>
  <c r="B11" i="2" s="1"/>
  <c r="B44" i="3"/>
  <c r="Q10" i="2"/>
  <c r="E10" i="3"/>
  <c r="AG78" i="1"/>
  <c r="AH78" i="1" s="1"/>
  <c r="AG89" i="1"/>
  <c r="AH89" i="1" s="1"/>
  <c r="AG90" i="1"/>
  <c r="AH90" i="1" s="1"/>
  <c r="K10" i="3"/>
  <c r="N10" i="3" s="1"/>
  <c r="O10" i="3" s="1"/>
  <c r="AG88" i="1"/>
  <c r="AH88" i="1" s="1"/>
  <c r="AG77" i="1"/>
  <c r="AH77" i="1" s="1"/>
  <c r="N11" i="2"/>
  <c r="N37" i="2" s="1"/>
  <c r="L12" i="2"/>
  <c r="N12" i="2" s="1"/>
  <c r="N38" i="2" s="1"/>
  <c r="N10" i="2"/>
  <c r="N36" i="2" s="1"/>
  <c r="AG69" i="1"/>
  <c r="AH69" i="1" s="1"/>
  <c r="AG71" i="1"/>
  <c r="AH71" i="1" s="1"/>
  <c r="V138" i="1"/>
  <c r="X138" i="1" s="1"/>
  <c r="AG70" i="1" s="1"/>
  <c r="AH70" i="1" s="1"/>
  <c r="AF70" i="1"/>
  <c r="V156" i="1"/>
  <c r="X156" i="1" s="1"/>
  <c r="AG92" i="1" s="1"/>
  <c r="AH92" i="1" s="1"/>
  <c r="AF92" i="1"/>
  <c r="V155" i="1"/>
  <c r="X155" i="1" s="1"/>
  <c r="AG91" i="1" s="1"/>
  <c r="AH91" i="1" s="1"/>
  <c r="AF91" i="1"/>
  <c r="V151" i="1"/>
  <c r="X151" i="1" s="1"/>
  <c r="AG87" i="1" s="1"/>
  <c r="AH87" i="1" s="1"/>
  <c r="AF87" i="1"/>
  <c r="V148" i="1"/>
  <c r="X148" i="1" s="1"/>
  <c r="AG82" i="1" s="1"/>
  <c r="AH82" i="1" s="1"/>
  <c r="AF82" i="1"/>
  <c r="V136" i="1"/>
  <c r="X136" i="1" s="1"/>
  <c r="AG68" i="1" s="1"/>
  <c r="AH68" i="1" s="1"/>
  <c r="AF68" i="1"/>
  <c r="V141" i="1"/>
  <c r="X141" i="1" s="1"/>
  <c r="AG73" i="1" s="1"/>
  <c r="AH73" i="1" s="1"/>
  <c r="AF73" i="1"/>
  <c r="V143" i="1"/>
  <c r="X143" i="1" s="1"/>
  <c r="AG75" i="1" s="1"/>
  <c r="AH75" i="1" s="1"/>
  <c r="AF75" i="1"/>
  <c r="V144" i="1"/>
  <c r="X144" i="1" s="1"/>
  <c r="AG76" i="1" s="1"/>
  <c r="AH76" i="1" s="1"/>
  <c r="AF76" i="1"/>
  <c r="G227" i="1"/>
  <c r="I227" i="1" s="1"/>
  <c r="H164" i="1"/>
  <c r="G226" i="1"/>
  <c r="R226" i="1" s="1"/>
  <c r="H163" i="1"/>
  <c r="G228" i="1"/>
  <c r="R228" i="1" s="1"/>
  <c r="H165" i="1"/>
  <c r="E181" i="1"/>
  <c r="F181" i="1" s="1"/>
  <c r="G181" i="1" s="1"/>
  <c r="H181" i="1"/>
  <c r="E170" i="1"/>
  <c r="F170" i="1" s="1"/>
  <c r="G170" i="1" s="1"/>
  <c r="H170" i="1"/>
  <c r="E185" i="1"/>
  <c r="F185" i="1" s="1"/>
  <c r="G185" i="1" s="1"/>
  <c r="H185" i="1"/>
  <c r="G230" i="1"/>
  <c r="U230" i="1" s="1"/>
  <c r="H167" i="1"/>
  <c r="E184" i="1"/>
  <c r="F184" i="1" s="1"/>
  <c r="G184" i="1" s="1"/>
  <c r="H184" i="1"/>
  <c r="E177" i="1"/>
  <c r="F177" i="1" s="1"/>
  <c r="G177" i="1" s="1"/>
  <c r="H177" i="1"/>
  <c r="G229" i="1"/>
  <c r="J229" i="1" s="1"/>
  <c r="Z229" i="1" s="1"/>
  <c r="AA229" i="1" s="1"/>
  <c r="H166" i="1"/>
  <c r="V149" i="1"/>
  <c r="X149" i="1" s="1"/>
  <c r="AG83" i="1" s="1"/>
  <c r="AH83" i="1" s="1"/>
  <c r="V147" i="1"/>
  <c r="X147" i="1" s="1"/>
  <c r="AG81" i="1" s="1"/>
  <c r="AH81" i="1" s="1"/>
  <c r="K135" i="1"/>
  <c r="V142" i="1"/>
  <c r="X142" i="1" s="1"/>
  <c r="AG74" i="1" s="1"/>
  <c r="AH74" i="1" s="1"/>
  <c r="V134" i="1"/>
  <c r="V129" i="1"/>
  <c r="V128" i="1"/>
  <c r="V126" i="1"/>
  <c r="K133" i="1"/>
  <c r="AF65" i="1" s="1"/>
  <c r="K130" i="1"/>
  <c r="AF59" i="1" s="1"/>
  <c r="G188" i="1"/>
  <c r="F122" i="1"/>
  <c r="G122" i="1" s="1"/>
  <c r="F123" i="1"/>
  <c r="G123" i="1" s="1"/>
  <c r="E176" i="1"/>
  <c r="F176" i="1" s="1"/>
  <c r="G176" i="1" s="1"/>
  <c r="E182" i="1"/>
  <c r="F182" i="1" s="1"/>
  <c r="G182" i="1" s="1"/>
  <c r="F106" i="1"/>
  <c r="G106" i="1" s="1"/>
  <c r="F108" i="1"/>
  <c r="G108" i="1" s="1"/>
  <c r="I108" i="1" s="1"/>
  <c r="F109" i="1"/>
  <c r="G109" i="1" s="1"/>
  <c r="I109" i="1" s="1"/>
  <c r="E163" i="1"/>
  <c r="F163" i="1" s="1"/>
  <c r="G163" i="1" s="1"/>
  <c r="J189" i="1"/>
  <c r="I189" i="1"/>
  <c r="L189" i="1" s="1"/>
  <c r="M189" i="1" s="1"/>
  <c r="J190" i="1"/>
  <c r="I190" i="1"/>
  <c r="L190" i="1" s="1"/>
  <c r="M190" i="1" s="1"/>
  <c r="F101" i="1"/>
  <c r="G101" i="1" s="1"/>
  <c r="F110" i="1"/>
  <c r="G110" i="1" s="1"/>
  <c r="J110" i="1" s="1"/>
  <c r="U214" i="1" s="1"/>
  <c r="E100" i="1"/>
  <c r="E102" i="1"/>
  <c r="E121" i="1"/>
  <c r="E114" i="1"/>
  <c r="E174" i="1"/>
  <c r="F174" i="1" s="1"/>
  <c r="G174" i="1" s="1"/>
  <c r="E37" i="1" s="1"/>
  <c r="H122" i="1"/>
  <c r="E112" i="1"/>
  <c r="E105" i="1"/>
  <c r="H123" i="1"/>
  <c r="E175" i="1"/>
  <c r="F175" i="1" s="1"/>
  <c r="G175" i="1" s="1"/>
  <c r="E164" i="1"/>
  <c r="F164" i="1" s="1"/>
  <c r="G164" i="1" s="1"/>
  <c r="E111" i="1"/>
  <c r="E169" i="1"/>
  <c r="F169" i="1" s="1"/>
  <c r="G169" i="1" s="1"/>
  <c r="U169" i="1" s="1"/>
  <c r="AD163" i="1"/>
  <c r="H106" i="1"/>
  <c r="E186" i="1"/>
  <c r="F186" i="1" s="1"/>
  <c r="G186" i="1" s="1"/>
  <c r="E166" i="1"/>
  <c r="F166" i="1" s="1"/>
  <c r="E124" i="1"/>
  <c r="E104" i="1"/>
  <c r="E103" i="1"/>
  <c r="E165" i="1"/>
  <c r="F165" i="1" s="1"/>
  <c r="E116" i="1"/>
  <c r="E113" i="1"/>
  <c r="E187" i="1"/>
  <c r="F187" i="1" s="1"/>
  <c r="G187" i="1" s="1"/>
  <c r="G172" i="1"/>
  <c r="U172" i="1" s="1"/>
  <c r="G173" i="1"/>
  <c r="R173" i="1" s="1"/>
  <c r="B45" i="3"/>
  <c r="C44" i="3"/>
  <c r="AD164" i="1"/>
  <c r="F11" i="2"/>
  <c r="G10" i="2"/>
  <c r="S11" i="2"/>
  <c r="T10" i="2"/>
  <c r="C51" i="2"/>
  <c r="D51" i="2" s="1"/>
  <c r="B52" i="2"/>
  <c r="L9" i="3"/>
  <c r="P12" i="2"/>
  <c r="Q11" i="2"/>
  <c r="H28" i="3"/>
  <c r="I27" i="3"/>
  <c r="E118" i="1"/>
  <c r="H118" i="1"/>
  <c r="AD173" i="1"/>
  <c r="C10" i="3"/>
  <c r="B11" i="3"/>
  <c r="I11" i="2"/>
  <c r="J10" i="2"/>
  <c r="E168" i="1"/>
  <c r="F168" i="1" s="1"/>
  <c r="G168" i="1" s="1"/>
  <c r="T11" i="3"/>
  <c r="U10" i="3"/>
  <c r="E178" i="1"/>
  <c r="F178" i="1" s="1"/>
  <c r="G178" i="1" s="1"/>
  <c r="E167" i="1"/>
  <c r="F167" i="1" s="1"/>
  <c r="G167" i="1" s="1"/>
  <c r="G171" i="1"/>
  <c r="R11" i="3"/>
  <c r="E179" i="1"/>
  <c r="F179" i="1" s="1"/>
  <c r="G179" i="1" s="1"/>
  <c r="L38" i="2"/>
  <c r="L13" i="2"/>
  <c r="B12" i="2"/>
  <c r="C11" i="2"/>
  <c r="D11" i="2" s="1"/>
  <c r="I24" i="2"/>
  <c r="J23" i="2"/>
  <c r="F10" i="3"/>
  <c r="E11" i="3"/>
  <c r="H117" i="1"/>
  <c r="E117" i="1"/>
  <c r="C10" i="2"/>
  <c r="D10" i="2" s="1"/>
  <c r="L36" i="2"/>
  <c r="H11" i="3"/>
  <c r="I10" i="3"/>
  <c r="H115" i="1"/>
  <c r="E115" i="1"/>
  <c r="H101" i="1"/>
  <c r="E120" i="1"/>
  <c r="H120" i="1"/>
  <c r="E107" i="1"/>
  <c r="H107" i="1"/>
  <c r="H119" i="1"/>
  <c r="E119" i="1"/>
  <c r="E180" i="1"/>
  <c r="F180" i="1" s="1"/>
  <c r="E183" i="1"/>
  <c r="F183" i="1" s="1"/>
  <c r="K11" i="3" l="1"/>
  <c r="L10" i="3"/>
  <c r="Q13" i="3"/>
  <c r="R12" i="3"/>
  <c r="V135" i="1"/>
  <c r="X135" i="1" s="1"/>
  <c r="AG67" i="1" s="1"/>
  <c r="AH67" i="1" s="1"/>
  <c r="AF67" i="1"/>
  <c r="R227" i="1"/>
  <c r="J227" i="1"/>
  <c r="Z227" i="1" s="1"/>
  <c r="AA227" i="1" s="1"/>
  <c r="U125" i="1"/>
  <c r="J125" i="1"/>
  <c r="AD51" i="1" s="1"/>
  <c r="I230" i="1"/>
  <c r="S230" i="1" s="1"/>
  <c r="I226" i="1"/>
  <c r="T226" i="1" s="1"/>
  <c r="J228" i="1"/>
  <c r="Z228" i="1" s="1"/>
  <c r="AA228" i="1" s="1"/>
  <c r="I228" i="1"/>
  <c r="T228" i="1" s="1"/>
  <c r="R230" i="1"/>
  <c r="J230" i="1"/>
  <c r="Z230" i="1" s="1"/>
  <c r="AA230" i="1" s="1"/>
  <c r="R229" i="1"/>
  <c r="I229" i="1"/>
  <c r="S229" i="1" s="1"/>
  <c r="J226" i="1"/>
  <c r="Z226" i="1" s="1"/>
  <c r="AA226" i="1" s="1"/>
  <c r="X128" i="1"/>
  <c r="AG57" i="1" s="1"/>
  <c r="AH57" i="1" s="1"/>
  <c r="W128" i="1"/>
  <c r="X134" i="1"/>
  <c r="AG66" i="1" s="1"/>
  <c r="AH66" i="1" s="1"/>
  <c r="W134" i="1"/>
  <c r="X129" i="1"/>
  <c r="AG58" i="1" s="1"/>
  <c r="AH58" i="1" s="1"/>
  <c r="W129" i="1"/>
  <c r="X126" i="1"/>
  <c r="W126" i="1"/>
  <c r="J182" i="1"/>
  <c r="Z182" i="1" s="1"/>
  <c r="K182" i="1" s="1"/>
  <c r="AD188" i="1"/>
  <c r="AD187" i="1"/>
  <c r="K229" i="1"/>
  <c r="V229" i="1" s="1"/>
  <c r="X229" i="1" s="1"/>
  <c r="K227" i="1"/>
  <c r="V227" i="1" s="1"/>
  <c r="X227" i="1" s="1"/>
  <c r="AD229" i="1"/>
  <c r="L227" i="1"/>
  <c r="M227" i="1" s="1"/>
  <c r="S227" i="1"/>
  <c r="T227" i="1"/>
  <c r="V133" i="1"/>
  <c r="V130" i="1"/>
  <c r="Y214" i="1"/>
  <c r="W214" i="1"/>
  <c r="F124" i="1"/>
  <c r="G124" i="1" s="1"/>
  <c r="J124" i="1" s="1"/>
  <c r="U228" i="1" s="1"/>
  <c r="W145" i="1"/>
  <c r="AD179" i="1"/>
  <c r="F118" i="1"/>
  <c r="G118" i="1" s="1"/>
  <c r="R118" i="1" s="1"/>
  <c r="F116" i="1"/>
  <c r="G116" i="1" s="1"/>
  <c r="I116" i="1" s="1"/>
  <c r="F119" i="1"/>
  <c r="G119" i="1" s="1"/>
  <c r="R119" i="1" s="1"/>
  <c r="F120" i="1"/>
  <c r="G120" i="1" s="1"/>
  <c r="U120" i="1" s="1"/>
  <c r="AD186" i="1"/>
  <c r="F115" i="1"/>
  <c r="G115" i="1" s="1"/>
  <c r="I115" i="1" s="1"/>
  <c r="F117" i="1"/>
  <c r="G117" i="1" s="1"/>
  <c r="J117" i="1" s="1"/>
  <c r="U221" i="1" s="1"/>
  <c r="F121" i="1"/>
  <c r="G121" i="1" s="1"/>
  <c r="I121" i="1" s="1"/>
  <c r="F107" i="1"/>
  <c r="G107" i="1" s="1"/>
  <c r="I107" i="1" s="1"/>
  <c r="F111" i="1"/>
  <c r="G111" i="1" s="1"/>
  <c r="F103" i="1"/>
  <c r="G103" i="1" s="1"/>
  <c r="R103" i="1" s="1"/>
  <c r="F112" i="1"/>
  <c r="G112" i="1" s="1"/>
  <c r="I112" i="1" s="1"/>
  <c r="F100" i="1"/>
  <c r="G100" i="1" s="1"/>
  <c r="J100" i="1" s="1"/>
  <c r="U204" i="1" s="1"/>
  <c r="F104" i="1"/>
  <c r="G104" i="1" s="1"/>
  <c r="U104" i="1" s="1"/>
  <c r="AD170" i="1"/>
  <c r="F102" i="1"/>
  <c r="G102" i="1" s="1"/>
  <c r="J102" i="1" s="1"/>
  <c r="U206" i="1" s="1"/>
  <c r="AD165" i="1"/>
  <c r="Z110" i="1"/>
  <c r="K110" i="1" s="1"/>
  <c r="AD171" i="1"/>
  <c r="I125" i="1"/>
  <c r="R125" i="1"/>
  <c r="AD167" i="1"/>
  <c r="AD177" i="1"/>
  <c r="F114" i="1"/>
  <c r="G114" i="1" s="1"/>
  <c r="U114" i="1" s="1"/>
  <c r="F105" i="1"/>
  <c r="G105" i="1" s="1"/>
  <c r="J105" i="1" s="1"/>
  <c r="U209" i="1" s="1"/>
  <c r="E35" i="1"/>
  <c r="R163" i="1" s="1"/>
  <c r="AD190" i="1"/>
  <c r="R110" i="1"/>
  <c r="U173" i="1"/>
  <c r="J122" i="1"/>
  <c r="U226" i="1" s="1"/>
  <c r="R109" i="1"/>
  <c r="R178" i="1"/>
  <c r="R106" i="1"/>
  <c r="I101" i="1"/>
  <c r="AD176" i="1"/>
  <c r="J109" i="1"/>
  <c r="U213" i="1" s="1"/>
  <c r="J123" i="1"/>
  <c r="U227" i="1" s="1"/>
  <c r="U109" i="1"/>
  <c r="I173" i="1"/>
  <c r="U177" i="1"/>
  <c r="AD169" i="1"/>
  <c r="U123" i="1"/>
  <c r="R179" i="1"/>
  <c r="I186" i="1"/>
  <c r="R186" i="1"/>
  <c r="U186" i="1"/>
  <c r="J186" i="1"/>
  <c r="Z186" i="1" s="1"/>
  <c r="G165" i="1"/>
  <c r="U106" i="1"/>
  <c r="J173" i="1"/>
  <c r="Z173" i="1" s="1"/>
  <c r="J106" i="1"/>
  <c r="U210" i="1" s="1"/>
  <c r="I187" i="1"/>
  <c r="S187" i="1" s="1"/>
  <c r="G166" i="1"/>
  <c r="E36" i="1" s="1"/>
  <c r="AD189" i="1"/>
  <c r="I123" i="1"/>
  <c r="S123" i="1" s="1"/>
  <c r="R185" i="1"/>
  <c r="AD174" i="1"/>
  <c r="AD168" i="1"/>
  <c r="J172" i="1"/>
  <c r="Z172" i="1" s="1"/>
  <c r="R123" i="1"/>
  <c r="I172" i="1"/>
  <c r="AD181" i="1"/>
  <c r="I110" i="1"/>
  <c r="I106" i="1"/>
  <c r="AD178" i="1"/>
  <c r="F113" i="1"/>
  <c r="J177" i="1"/>
  <c r="Z177" i="1" s="1"/>
  <c r="R172" i="1"/>
  <c r="I177" i="1"/>
  <c r="S177" i="1" s="1"/>
  <c r="U110" i="1"/>
  <c r="I169" i="1"/>
  <c r="R177" i="1"/>
  <c r="L109" i="1"/>
  <c r="M109" i="1" s="1"/>
  <c r="S109" i="1"/>
  <c r="T109" i="1"/>
  <c r="L108" i="1"/>
  <c r="M108" i="1" s="1"/>
  <c r="S108" i="1"/>
  <c r="T108" i="1"/>
  <c r="U175" i="1"/>
  <c r="J175" i="1"/>
  <c r="Z175" i="1" s="1"/>
  <c r="K175" i="1" s="1"/>
  <c r="R175" i="1"/>
  <c r="I175" i="1"/>
  <c r="F12" i="2"/>
  <c r="G11" i="2"/>
  <c r="J178" i="1"/>
  <c r="Z178" i="1" s="1"/>
  <c r="K178" i="1" s="1"/>
  <c r="U178" i="1"/>
  <c r="I28" i="3"/>
  <c r="H29" i="3"/>
  <c r="AD180" i="1"/>
  <c r="R108" i="1"/>
  <c r="H12" i="3"/>
  <c r="I11" i="3"/>
  <c r="B13" i="2"/>
  <c r="C12" i="2"/>
  <c r="D12" i="2" s="1"/>
  <c r="J108" i="1"/>
  <c r="U212" i="1" s="1"/>
  <c r="U185" i="1"/>
  <c r="J185" i="1"/>
  <c r="Z185" i="1" s="1"/>
  <c r="K185" i="1" s="1"/>
  <c r="I185" i="1"/>
  <c r="J101" i="1"/>
  <c r="U205" i="1" s="1"/>
  <c r="U101" i="1"/>
  <c r="AD166" i="1"/>
  <c r="R101" i="1"/>
  <c r="B12" i="3"/>
  <c r="C11" i="3"/>
  <c r="U108" i="1"/>
  <c r="AD175" i="1"/>
  <c r="AD172" i="1"/>
  <c r="U11" i="3"/>
  <c r="T12" i="3"/>
  <c r="P13" i="2"/>
  <c r="Q12" i="2"/>
  <c r="I25" i="2"/>
  <c r="J24" i="2"/>
  <c r="AD183" i="1"/>
  <c r="B46" i="3"/>
  <c r="C45" i="3"/>
  <c r="B53" i="2"/>
  <c r="C52" i="2"/>
  <c r="D52" i="2" s="1"/>
  <c r="U164" i="1"/>
  <c r="R164" i="1"/>
  <c r="I164" i="1"/>
  <c r="AC229" i="1" s="1"/>
  <c r="J164" i="1"/>
  <c r="Z164" i="1" s="1"/>
  <c r="K164" i="1" s="1"/>
  <c r="L39" i="2"/>
  <c r="L14" i="2"/>
  <c r="N13" i="2"/>
  <c r="N39" i="2" s="1"/>
  <c r="I12" i="2"/>
  <c r="J11" i="2"/>
  <c r="K12" i="3"/>
  <c r="N11" i="3"/>
  <c r="O11" i="3" s="1"/>
  <c r="L11" i="3"/>
  <c r="AD182" i="1"/>
  <c r="G180" i="1"/>
  <c r="I180" i="1" s="1"/>
  <c r="R184" i="1"/>
  <c r="U184" i="1"/>
  <c r="J184" i="1"/>
  <c r="Z184" i="1" s="1"/>
  <c r="K184" i="1" s="1"/>
  <c r="I179" i="1"/>
  <c r="I178" i="1"/>
  <c r="U181" i="1"/>
  <c r="R181" i="1"/>
  <c r="J181" i="1"/>
  <c r="Z181" i="1" s="1"/>
  <c r="K181" i="1" s="1"/>
  <c r="I181" i="1"/>
  <c r="J179" i="1"/>
  <c r="Z179" i="1" s="1"/>
  <c r="K179" i="1" s="1"/>
  <c r="U179" i="1"/>
  <c r="I184" i="1"/>
  <c r="G183" i="1"/>
  <c r="I183" i="1" s="1"/>
  <c r="I122" i="1"/>
  <c r="R122" i="1"/>
  <c r="U122" i="1"/>
  <c r="J169" i="1"/>
  <c r="Z169" i="1" s="1"/>
  <c r="K169" i="1" s="1"/>
  <c r="R169" i="1"/>
  <c r="F11" i="3"/>
  <c r="E12" i="3"/>
  <c r="T11" i="2"/>
  <c r="S12" i="2"/>
  <c r="R13" i="3" l="1"/>
  <c r="Q14" i="3"/>
  <c r="Y126" i="1"/>
  <c r="AG52" i="1"/>
  <c r="AH52" i="1" s="1"/>
  <c r="E33" i="1"/>
  <c r="R176" i="1" s="1"/>
  <c r="T230" i="1"/>
  <c r="K230" i="1"/>
  <c r="V230" i="1" s="1"/>
  <c r="X230" i="1" s="1"/>
  <c r="Y230" i="1" s="1"/>
  <c r="L226" i="1"/>
  <c r="M226" i="1" s="1"/>
  <c r="L230" i="1"/>
  <c r="M230" i="1" s="1"/>
  <c r="S226" i="1"/>
  <c r="K228" i="1"/>
  <c r="V228" i="1" s="1"/>
  <c r="X228" i="1" s="1"/>
  <c r="Y228" i="1" s="1"/>
  <c r="L228" i="1"/>
  <c r="M228" i="1" s="1"/>
  <c r="S228" i="1"/>
  <c r="T229" i="1"/>
  <c r="L229" i="1"/>
  <c r="M229" i="1" s="1"/>
  <c r="K226" i="1"/>
  <c r="V226" i="1" s="1"/>
  <c r="X226" i="1" s="1"/>
  <c r="Y226" i="1" s="1"/>
  <c r="J163" i="1"/>
  <c r="Z163" i="1" s="1"/>
  <c r="U163" i="1"/>
  <c r="AD228" i="1"/>
  <c r="I163" i="1"/>
  <c r="AC228" i="1" s="1"/>
  <c r="U171" i="1"/>
  <c r="I171" i="1"/>
  <c r="S171" i="1" s="1"/>
  <c r="R171" i="1"/>
  <c r="J171" i="1"/>
  <c r="Z171" i="1" s="1"/>
  <c r="K171" i="1" s="1"/>
  <c r="V171" i="1" s="1"/>
  <c r="X171" i="1" s="1"/>
  <c r="I182" i="1"/>
  <c r="L182" i="1" s="1"/>
  <c r="M182" i="1" s="1"/>
  <c r="X133" i="1"/>
  <c r="W133" i="1"/>
  <c r="Y134" i="1"/>
  <c r="Y129" i="1"/>
  <c r="X130" i="1"/>
  <c r="AG59" i="1" s="1"/>
  <c r="AH59" i="1" s="1"/>
  <c r="W130" i="1"/>
  <c r="Y128" i="1"/>
  <c r="U182" i="1"/>
  <c r="R182" i="1"/>
  <c r="K177" i="1"/>
  <c r="V177" i="1" s="1"/>
  <c r="K173" i="1"/>
  <c r="V173" i="1" s="1"/>
  <c r="AA172" i="1"/>
  <c r="K172" i="1"/>
  <c r="V172" i="1" s="1"/>
  <c r="W172" i="1" s="1"/>
  <c r="AA186" i="1"/>
  <c r="K186" i="1"/>
  <c r="V186" i="1" s="1"/>
  <c r="X186" i="1" s="1"/>
  <c r="Y186" i="1" s="1"/>
  <c r="AA110" i="1"/>
  <c r="V110" i="1"/>
  <c r="X110" i="1" s="1"/>
  <c r="Y110" i="1" s="1"/>
  <c r="U176" i="1"/>
  <c r="J176" i="1"/>
  <c r="Z176" i="1" s="1"/>
  <c r="I176" i="1"/>
  <c r="S176" i="1" s="1"/>
  <c r="I124" i="1"/>
  <c r="L124" i="1" s="1"/>
  <c r="M124" i="1" s="1"/>
  <c r="I167" i="1"/>
  <c r="U229" i="1"/>
  <c r="Y229" i="1" s="1"/>
  <c r="Y210" i="1"/>
  <c r="W210" i="1"/>
  <c r="Y212" i="1"/>
  <c r="W212" i="1"/>
  <c r="S172" i="1"/>
  <c r="W209" i="1"/>
  <c r="Y209" i="1"/>
  <c r="Y206" i="1"/>
  <c r="W206" i="1"/>
  <c r="W227" i="1"/>
  <c r="Y227" i="1"/>
  <c r="Y213" i="1"/>
  <c r="W213" i="1"/>
  <c r="Y204" i="1"/>
  <c r="W204" i="1"/>
  <c r="L173" i="1"/>
  <c r="M173" i="1" s="1"/>
  <c r="W221" i="1"/>
  <c r="Y221" i="1"/>
  <c r="W205" i="1"/>
  <c r="Y205" i="1"/>
  <c r="T169" i="1"/>
  <c r="U124" i="1"/>
  <c r="Y155" i="1"/>
  <c r="Z124" i="1"/>
  <c r="K124" i="1" s="1"/>
  <c r="R124" i="1"/>
  <c r="Y137" i="1"/>
  <c r="Y145" i="1"/>
  <c r="Y135" i="1"/>
  <c r="Y136" i="1"/>
  <c r="W141" i="1"/>
  <c r="Y143" i="1"/>
  <c r="Y144" i="1"/>
  <c r="W140" i="1"/>
  <c r="Z125" i="1"/>
  <c r="K125" i="1" s="1"/>
  <c r="AF51" i="1" s="1"/>
  <c r="Z123" i="1"/>
  <c r="K123" i="1" s="1"/>
  <c r="Z122" i="1"/>
  <c r="K122" i="1" s="1"/>
  <c r="L112" i="1"/>
  <c r="M112" i="1" s="1"/>
  <c r="R120" i="1"/>
  <c r="J112" i="1"/>
  <c r="U117" i="1"/>
  <c r="J120" i="1"/>
  <c r="U224" i="1" s="1"/>
  <c r="I120" i="1"/>
  <c r="J119" i="1"/>
  <c r="U223" i="1" s="1"/>
  <c r="U112" i="1"/>
  <c r="S116" i="1"/>
  <c r="Z102" i="1"/>
  <c r="K102" i="1" s="1"/>
  <c r="R116" i="1"/>
  <c r="S112" i="1"/>
  <c r="U116" i="1"/>
  <c r="R100" i="1"/>
  <c r="Z117" i="1"/>
  <c r="K117" i="1" s="1"/>
  <c r="R117" i="1"/>
  <c r="J116" i="1"/>
  <c r="U220" i="1" s="1"/>
  <c r="I117" i="1"/>
  <c r="U119" i="1"/>
  <c r="L116" i="1"/>
  <c r="M116" i="1" s="1"/>
  <c r="I119" i="1"/>
  <c r="T116" i="1"/>
  <c r="R105" i="1"/>
  <c r="I100" i="1"/>
  <c r="J104" i="1"/>
  <c r="U208" i="1" s="1"/>
  <c r="U105" i="1"/>
  <c r="U100" i="1"/>
  <c r="I102" i="1"/>
  <c r="T102" i="1" s="1"/>
  <c r="I104" i="1"/>
  <c r="U102" i="1"/>
  <c r="R104" i="1"/>
  <c r="T112" i="1"/>
  <c r="R112" i="1"/>
  <c r="R102" i="1"/>
  <c r="I103" i="1"/>
  <c r="L103" i="1" s="1"/>
  <c r="M103" i="1" s="1"/>
  <c r="J103" i="1"/>
  <c r="U207" i="1" s="1"/>
  <c r="U103" i="1"/>
  <c r="Z101" i="1"/>
  <c r="K101" i="1" s="1"/>
  <c r="Z108" i="1"/>
  <c r="K108" i="1" s="1"/>
  <c r="Z105" i="1"/>
  <c r="K105" i="1" s="1"/>
  <c r="Z106" i="1"/>
  <c r="K106" i="1" s="1"/>
  <c r="Z100" i="1"/>
  <c r="K100" i="1" s="1"/>
  <c r="S110" i="1"/>
  <c r="Z109" i="1"/>
  <c r="K109" i="1" s="1"/>
  <c r="T106" i="1"/>
  <c r="L101" i="1"/>
  <c r="M101" i="1" s="1"/>
  <c r="T125" i="1"/>
  <c r="L125" i="1"/>
  <c r="M125" i="1" s="1"/>
  <c r="S125" i="1"/>
  <c r="AC190" i="1"/>
  <c r="I105" i="1"/>
  <c r="I114" i="1"/>
  <c r="G38" i="1"/>
  <c r="J114" i="1"/>
  <c r="U218" i="1" s="1"/>
  <c r="R114" i="1"/>
  <c r="E34" i="1"/>
  <c r="I166" i="1" s="1"/>
  <c r="AD230" i="1"/>
  <c r="H188" i="1"/>
  <c r="J188" i="1" s="1"/>
  <c r="T173" i="1"/>
  <c r="T101" i="1"/>
  <c r="S173" i="1"/>
  <c r="S169" i="1"/>
  <c r="L106" i="1"/>
  <c r="M106" i="1" s="1"/>
  <c r="S101" i="1"/>
  <c r="T177" i="1"/>
  <c r="T172" i="1"/>
  <c r="L172" i="1"/>
  <c r="M172" i="1" s="1"/>
  <c r="T110" i="1"/>
  <c r="AA173" i="1"/>
  <c r="T123" i="1"/>
  <c r="L177" i="1"/>
  <c r="M177" i="1" s="1"/>
  <c r="L169" i="1"/>
  <c r="M169" i="1" s="1"/>
  <c r="R111" i="1"/>
  <c r="J111" i="1"/>
  <c r="U215" i="1" s="1"/>
  <c r="U111" i="1"/>
  <c r="L123" i="1"/>
  <c r="M123" i="1" s="1"/>
  <c r="I111" i="1"/>
  <c r="I118" i="1"/>
  <c r="S106" i="1"/>
  <c r="AA177" i="1"/>
  <c r="L110" i="1"/>
  <c r="M110" i="1" s="1"/>
  <c r="L187" i="1"/>
  <c r="M187" i="1" s="1"/>
  <c r="T187" i="1"/>
  <c r="G113" i="1"/>
  <c r="I113" i="1" s="1"/>
  <c r="U187" i="1"/>
  <c r="J187" i="1"/>
  <c r="Z187" i="1" s="1"/>
  <c r="R187" i="1"/>
  <c r="S186" i="1"/>
  <c r="T186" i="1"/>
  <c r="L186" i="1"/>
  <c r="M186" i="1" s="1"/>
  <c r="R115" i="1"/>
  <c r="J107" i="1"/>
  <c r="U211" i="1" s="1"/>
  <c r="J115" i="1"/>
  <c r="U219" i="1" s="1"/>
  <c r="U107" i="1"/>
  <c r="U115" i="1"/>
  <c r="R107" i="1"/>
  <c r="S107" i="1"/>
  <c r="L107" i="1"/>
  <c r="M107" i="1" s="1"/>
  <c r="T107" i="1"/>
  <c r="L180" i="1"/>
  <c r="M180" i="1" s="1"/>
  <c r="S180" i="1"/>
  <c r="T180" i="1"/>
  <c r="L115" i="1"/>
  <c r="M115" i="1" s="1"/>
  <c r="T115" i="1"/>
  <c r="S115" i="1"/>
  <c r="L183" i="1"/>
  <c r="M183" i="1" s="1"/>
  <c r="T183" i="1"/>
  <c r="S183" i="1"/>
  <c r="I26" i="2"/>
  <c r="J25" i="2"/>
  <c r="R121" i="1"/>
  <c r="U121" i="1"/>
  <c r="J121" i="1"/>
  <c r="U225" i="1" s="1"/>
  <c r="N12" i="3"/>
  <c r="O12" i="3" s="1"/>
  <c r="L12" i="3"/>
  <c r="K13" i="3"/>
  <c r="I13" i="2"/>
  <c r="J12" i="2"/>
  <c r="U118" i="1"/>
  <c r="P14" i="2"/>
  <c r="Q13" i="2"/>
  <c r="H13" i="3"/>
  <c r="I12" i="3"/>
  <c r="B13" i="3"/>
  <c r="C12" i="3"/>
  <c r="L175" i="1"/>
  <c r="M175" i="1" s="1"/>
  <c r="S175" i="1"/>
  <c r="T175" i="1"/>
  <c r="V169" i="1"/>
  <c r="AA169" i="1"/>
  <c r="V164" i="1"/>
  <c r="X164" i="1" s="1"/>
  <c r="Y164" i="1" s="1"/>
  <c r="AA164" i="1"/>
  <c r="AA178" i="1"/>
  <c r="V178" i="1"/>
  <c r="X178" i="1" s="1"/>
  <c r="Y178" i="1" s="1"/>
  <c r="AA175" i="1"/>
  <c r="V175" i="1"/>
  <c r="X175" i="1" s="1"/>
  <c r="Y175" i="1" s="1"/>
  <c r="J118" i="1"/>
  <c r="T13" i="3"/>
  <c r="U12" i="3"/>
  <c r="R180" i="1"/>
  <c r="U180" i="1"/>
  <c r="J180" i="1"/>
  <c r="Z180" i="1" s="1"/>
  <c r="K180" i="1" s="1"/>
  <c r="G12" i="2"/>
  <c r="F13" i="2"/>
  <c r="F12" i="3"/>
  <c r="E13" i="3"/>
  <c r="L122" i="1"/>
  <c r="M122" i="1" s="1"/>
  <c r="T122" i="1"/>
  <c r="S122" i="1"/>
  <c r="V184" i="1"/>
  <c r="X184" i="1" s="1"/>
  <c r="Y184" i="1" s="1"/>
  <c r="AA184" i="1"/>
  <c r="L15" i="2"/>
  <c r="N14" i="2"/>
  <c r="N40" i="2" s="1"/>
  <c r="L40" i="2"/>
  <c r="C53" i="2"/>
  <c r="D53" i="2" s="1"/>
  <c r="B54" i="2"/>
  <c r="C54" i="2" s="1"/>
  <c r="D54" i="2" s="1"/>
  <c r="S13" i="2"/>
  <c r="T12" i="2"/>
  <c r="L179" i="1"/>
  <c r="M179" i="1" s="1"/>
  <c r="T179" i="1"/>
  <c r="S179" i="1"/>
  <c r="C13" i="2"/>
  <c r="D13" i="2" s="1"/>
  <c r="B14" i="2"/>
  <c r="L164" i="1"/>
  <c r="M164" i="1" s="1"/>
  <c r="T164" i="1"/>
  <c r="S164" i="1"/>
  <c r="V182" i="1"/>
  <c r="X182" i="1" s="1"/>
  <c r="AA182" i="1"/>
  <c r="L185" i="1"/>
  <c r="M185" i="1" s="1"/>
  <c r="T185" i="1"/>
  <c r="S185" i="1"/>
  <c r="L121" i="1"/>
  <c r="M121" i="1" s="1"/>
  <c r="S121" i="1"/>
  <c r="T121" i="1"/>
  <c r="L184" i="1"/>
  <c r="M184" i="1" s="1"/>
  <c r="S184" i="1"/>
  <c r="T184" i="1"/>
  <c r="B47" i="3"/>
  <c r="C46" i="3"/>
  <c r="V185" i="1"/>
  <c r="X185" i="1" s="1"/>
  <c r="Y185" i="1" s="1"/>
  <c r="AA185" i="1"/>
  <c r="R183" i="1"/>
  <c r="J183" i="1"/>
  <c r="Z183" i="1" s="1"/>
  <c r="K183" i="1" s="1"/>
  <c r="U183" i="1"/>
  <c r="V179" i="1"/>
  <c r="X179" i="1" s="1"/>
  <c r="Y179" i="1" s="1"/>
  <c r="AA179" i="1"/>
  <c r="L181" i="1"/>
  <c r="M181" i="1" s="1"/>
  <c r="S181" i="1"/>
  <c r="T181" i="1"/>
  <c r="L178" i="1"/>
  <c r="M178" i="1" s="1"/>
  <c r="T178" i="1"/>
  <c r="S178" i="1"/>
  <c r="AA181" i="1"/>
  <c r="V181" i="1"/>
  <c r="X181" i="1" s="1"/>
  <c r="Y181" i="1" s="1"/>
  <c r="I29" i="3"/>
  <c r="H30" i="3"/>
  <c r="R14" i="3" l="1"/>
  <c r="Q15" i="3"/>
  <c r="Y133" i="1"/>
  <c r="AG65" i="1"/>
  <c r="AH65" i="1" s="1"/>
  <c r="W230" i="1"/>
  <c r="W228" i="1"/>
  <c r="S182" i="1"/>
  <c r="W226" i="1"/>
  <c r="Y171" i="1"/>
  <c r="T163" i="1"/>
  <c r="J167" i="1"/>
  <c r="Z167" i="1" s="1"/>
  <c r="K167" i="1" s="1"/>
  <c r="V167" i="1" s="1"/>
  <c r="X167" i="1" s="1"/>
  <c r="S163" i="1"/>
  <c r="T171" i="1"/>
  <c r="AA171" i="1"/>
  <c r="L163" i="1"/>
  <c r="M163" i="1" s="1"/>
  <c r="L171" i="1"/>
  <c r="M171" i="1" s="1"/>
  <c r="T182" i="1"/>
  <c r="R174" i="1"/>
  <c r="Y182" i="1"/>
  <c r="Y130" i="1"/>
  <c r="X173" i="1"/>
  <c r="Y173" i="1" s="1"/>
  <c r="W173" i="1"/>
  <c r="X177" i="1"/>
  <c r="Y177" i="1" s="1"/>
  <c r="W177" i="1"/>
  <c r="AA187" i="1"/>
  <c r="K187" i="1"/>
  <c r="V187" i="1" s="1"/>
  <c r="K176" i="1"/>
  <c r="V176" i="1" s="1"/>
  <c r="AA163" i="1"/>
  <c r="K163" i="1"/>
  <c r="V163" i="1" s="1"/>
  <c r="U166" i="1"/>
  <c r="V123" i="1"/>
  <c r="V124" i="1"/>
  <c r="V122" i="1"/>
  <c r="AA106" i="1"/>
  <c r="V106" i="1"/>
  <c r="X106" i="1" s="1"/>
  <c r="Y106" i="1" s="1"/>
  <c r="AA102" i="1"/>
  <c r="V102" i="1"/>
  <c r="X102" i="1" s="1"/>
  <c r="Y102" i="1" s="1"/>
  <c r="V109" i="1"/>
  <c r="AA105" i="1"/>
  <c r="V105" i="1"/>
  <c r="X105" i="1" s="1"/>
  <c r="Y105" i="1" s="1"/>
  <c r="V108" i="1"/>
  <c r="AA117" i="1"/>
  <c r="V117" i="1"/>
  <c r="X117" i="1" s="1"/>
  <c r="Y117" i="1" s="1"/>
  <c r="V101" i="1"/>
  <c r="V100" i="1"/>
  <c r="AA176" i="1"/>
  <c r="R166" i="1"/>
  <c r="J168" i="1"/>
  <c r="Z168" i="1" s="1"/>
  <c r="I168" i="1"/>
  <c r="U168" i="1"/>
  <c r="R168" i="1"/>
  <c r="S166" i="1"/>
  <c r="L166" i="1"/>
  <c r="M166" i="1" s="1"/>
  <c r="T166" i="1"/>
  <c r="J166" i="1"/>
  <c r="Z166" i="1" s="1"/>
  <c r="L176" i="1"/>
  <c r="M176" i="1" s="1"/>
  <c r="T124" i="1"/>
  <c r="S124" i="1"/>
  <c r="U167" i="1"/>
  <c r="R167" i="1"/>
  <c r="T176" i="1"/>
  <c r="R170" i="1"/>
  <c r="I170" i="1"/>
  <c r="J170" i="1"/>
  <c r="Z170" i="1" s="1"/>
  <c r="K170" i="1" s="1"/>
  <c r="U170" i="1"/>
  <c r="V125" i="1"/>
  <c r="W229" i="1"/>
  <c r="S167" i="1"/>
  <c r="Y223" i="1"/>
  <c r="W223" i="1"/>
  <c r="W136" i="1"/>
  <c r="W219" i="1"/>
  <c r="Y219" i="1"/>
  <c r="W224" i="1"/>
  <c r="Y224" i="1"/>
  <c r="W218" i="1"/>
  <c r="Y218" i="1"/>
  <c r="W215" i="1"/>
  <c r="Y215" i="1"/>
  <c r="W208" i="1"/>
  <c r="Y208" i="1"/>
  <c r="Y220" i="1"/>
  <c r="W220" i="1"/>
  <c r="H192" i="1"/>
  <c r="H200" i="1"/>
  <c r="H191" i="1"/>
  <c r="H198" i="1"/>
  <c r="H222" i="1"/>
  <c r="U222" i="1" s="1"/>
  <c r="H216" i="1"/>
  <c r="U216" i="1" s="1"/>
  <c r="Y207" i="1"/>
  <c r="W207" i="1"/>
  <c r="Y211" i="1"/>
  <c r="W211" i="1"/>
  <c r="Y225" i="1"/>
  <c r="W225" i="1"/>
  <c r="W144" i="1"/>
  <c r="AA124" i="1"/>
  <c r="W143" i="1"/>
  <c r="W137" i="1"/>
  <c r="W135" i="1"/>
  <c r="Y141" i="1"/>
  <c r="Y151" i="1"/>
  <c r="J165" i="1"/>
  <c r="W155" i="1"/>
  <c r="W152" i="1"/>
  <c r="Y138" i="1"/>
  <c r="W146" i="1"/>
  <c r="Y149" i="1"/>
  <c r="Y139" i="1"/>
  <c r="Y140" i="1"/>
  <c r="Y142" i="1"/>
  <c r="W147" i="1"/>
  <c r="W148" i="1"/>
  <c r="AA125" i="1"/>
  <c r="AA122" i="1"/>
  <c r="W153" i="1"/>
  <c r="Y153" i="1"/>
  <c r="Y154" i="1"/>
  <c r="W154" i="1"/>
  <c r="W156" i="1"/>
  <c r="Y156" i="1"/>
  <c r="AA123" i="1"/>
  <c r="Z104" i="1"/>
  <c r="K104" i="1" s="1"/>
  <c r="T114" i="1"/>
  <c r="Z112" i="1"/>
  <c r="K112" i="1" s="1"/>
  <c r="T120" i="1"/>
  <c r="S120" i="1"/>
  <c r="L120" i="1"/>
  <c r="M120" i="1" s="1"/>
  <c r="S117" i="1"/>
  <c r="T117" i="1"/>
  <c r="L117" i="1"/>
  <c r="M117" i="1" s="1"/>
  <c r="Z120" i="1"/>
  <c r="K120" i="1" s="1"/>
  <c r="Z119" i="1"/>
  <c r="K119" i="1" s="1"/>
  <c r="Z114" i="1"/>
  <c r="K114" i="1" s="1"/>
  <c r="L119" i="1"/>
  <c r="M119" i="1" s="1"/>
  <c r="T119" i="1"/>
  <c r="S119" i="1"/>
  <c r="Z116" i="1"/>
  <c r="K116" i="1" s="1"/>
  <c r="S118" i="1"/>
  <c r="Z121" i="1"/>
  <c r="K121" i="1" s="1"/>
  <c r="Z118" i="1"/>
  <c r="K118" i="1" s="1"/>
  <c r="T100" i="1"/>
  <c r="S100" i="1"/>
  <c r="Z115" i="1"/>
  <c r="K115" i="1" s="1"/>
  <c r="L100" i="1"/>
  <c r="M100" i="1" s="1"/>
  <c r="Z103" i="1"/>
  <c r="K103" i="1" s="1"/>
  <c r="S103" i="1"/>
  <c r="AA100" i="1"/>
  <c r="S102" i="1"/>
  <c r="L102" i="1"/>
  <c r="M102" i="1" s="1"/>
  <c r="AA101" i="1"/>
  <c r="W110" i="1"/>
  <c r="L104" i="1"/>
  <c r="M104" i="1" s="1"/>
  <c r="T103" i="1"/>
  <c r="T104" i="1"/>
  <c r="S104" i="1"/>
  <c r="L114" i="1"/>
  <c r="M114" i="1" s="1"/>
  <c r="AA109" i="1"/>
  <c r="AA108" i="1"/>
  <c r="Z111" i="1"/>
  <c r="K111" i="1" s="1"/>
  <c r="L105" i="1"/>
  <c r="M105" i="1" s="1"/>
  <c r="Z107" i="1"/>
  <c r="K107" i="1" s="1"/>
  <c r="S105" i="1"/>
  <c r="T105" i="1"/>
  <c r="S114" i="1"/>
  <c r="L167" i="1"/>
  <c r="M167" i="1" s="1"/>
  <c r="T167" i="1"/>
  <c r="U190" i="1"/>
  <c r="R190" i="1"/>
  <c r="U165" i="1"/>
  <c r="G36" i="1" s="1"/>
  <c r="I165" i="1"/>
  <c r="AC230" i="1" s="1"/>
  <c r="R165" i="1"/>
  <c r="R188" i="1"/>
  <c r="Z188" i="1"/>
  <c r="K188" i="1" s="1"/>
  <c r="U188" i="1"/>
  <c r="I188" i="1"/>
  <c r="F38" i="1"/>
  <c r="T190" i="1"/>
  <c r="S190" i="1"/>
  <c r="H38" i="1"/>
  <c r="X172" i="1"/>
  <c r="Y172" i="1" s="1"/>
  <c r="W186" i="1"/>
  <c r="T118" i="1"/>
  <c r="L118" i="1"/>
  <c r="M118" i="1" s="1"/>
  <c r="S111" i="1"/>
  <c r="L111" i="1"/>
  <c r="M111" i="1" s="1"/>
  <c r="T111" i="1"/>
  <c r="U113" i="1"/>
  <c r="R113" i="1"/>
  <c r="J113" i="1"/>
  <c r="U217" i="1" s="1"/>
  <c r="W185" i="1"/>
  <c r="S113" i="1"/>
  <c r="L113" i="1"/>
  <c r="M113" i="1" s="1"/>
  <c r="T113" i="1"/>
  <c r="W164" i="1"/>
  <c r="W178" i="1"/>
  <c r="W182" i="1"/>
  <c r="W179" i="1"/>
  <c r="W175" i="1"/>
  <c r="E14" i="3"/>
  <c r="F13" i="3"/>
  <c r="W171" i="1"/>
  <c r="L16" i="2"/>
  <c r="L41" i="2"/>
  <c r="N15" i="2"/>
  <c r="N41" i="2" s="1"/>
  <c r="F14" i="2"/>
  <c r="G13" i="2"/>
  <c r="T14" i="3"/>
  <c r="U13" i="3"/>
  <c r="I14" i="2"/>
  <c r="J13" i="2"/>
  <c r="J26" i="2"/>
  <c r="I27" i="2"/>
  <c r="W181" i="1"/>
  <c r="K14" i="3"/>
  <c r="N13" i="3"/>
  <c r="O13" i="3" s="1"/>
  <c r="L13" i="3"/>
  <c r="H31" i="3"/>
  <c r="I31" i="3" s="1"/>
  <c r="I30" i="3"/>
  <c r="W184" i="1"/>
  <c r="C13" i="3"/>
  <c r="B14" i="3"/>
  <c r="C47" i="3"/>
  <c r="B48" i="3"/>
  <c r="C14" i="2"/>
  <c r="D14" i="2" s="1"/>
  <c r="B15" i="2"/>
  <c r="S14" i="2"/>
  <c r="T13" i="2"/>
  <c r="X169" i="1"/>
  <c r="Y169" i="1" s="1"/>
  <c r="W169" i="1"/>
  <c r="AA183" i="1"/>
  <c r="V183" i="1"/>
  <c r="X183" i="1" s="1"/>
  <c r="Y183" i="1" s="1"/>
  <c r="V180" i="1"/>
  <c r="X180" i="1" s="1"/>
  <c r="Y180" i="1" s="1"/>
  <c r="AA180" i="1"/>
  <c r="I13" i="3"/>
  <c r="H14" i="3"/>
  <c r="Q14" i="2"/>
  <c r="P15" i="2"/>
  <c r="Q16" i="3" l="1"/>
  <c r="R15" i="3"/>
  <c r="AA167" i="1"/>
  <c r="U174" i="1"/>
  <c r="I174" i="1"/>
  <c r="L174" i="1" s="1"/>
  <c r="M174" i="1" s="1"/>
  <c r="J174" i="1"/>
  <c r="Z174" i="1" s="1"/>
  <c r="K174" i="1" s="1"/>
  <c r="G33" i="1"/>
  <c r="X125" i="1"/>
  <c r="W125" i="1"/>
  <c r="X176" i="1"/>
  <c r="Y176" i="1" s="1"/>
  <c r="W176" i="1"/>
  <c r="AA166" i="1"/>
  <c r="K166" i="1"/>
  <c r="V166" i="1" s="1"/>
  <c r="X166" i="1" s="1"/>
  <c r="Y166" i="1" s="1"/>
  <c r="AA168" i="1"/>
  <c r="K168" i="1"/>
  <c r="V168" i="1" s="1"/>
  <c r="X168" i="1" s="1"/>
  <c r="Y168" i="1" s="1"/>
  <c r="G37" i="1"/>
  <c r="X124" i="1"/>
  <c r="Y124" i="1" s="1"/>
  <c r="W124" i="1"/>
  <c r="X122" i="1"/>
  <c r="Y122" i="1" s="1"/>
  <c r="W122" i="1"/>
  <c r="X123" i="1"/>
  <c r="Y123" i="1" s="1"/>
  <c r="W123" i="1"/>
  <c r="X109" i="1"/>
  <c r="Y109" i="1" s="1"/>
  <c r="W109" i="1"/>
  <c r="X108" i="1"/>
  <c r="Y108" i="1" s="1"/>
  <c r="W108" i="1"/>
  <c r="V104" i="1"/>
  <c r="AA107" i="1"/>
  <c r="V107" i="1"/>
  <c r="X107" i="1" s="1"/>
  <c r="Y107" i="1" s="1"/>
  <c r="V118" i="1"/>
  <c r="AA114" i="1"/>
  <c r="V114" i="1"/>
  <c r="X114" i="1" s="1"/>
  <c r="Y114" i="1" s="1"/>
  <c r="V121" i="1"/>
  <c r="V119" i="1"/>
  <c r="AA112" i="1"/>
  <c r="V112" i="1"/>
  <c r="X112" i="1" s="1"/>
  <c r="Y112" i="1" s="1"/>
  <c r="AA115" i="1"/>
  <c r="V115" i="1"/>
  <c r="X115" i="1" s="1"/>
  <c r="Y115" i="1" s="1"/>
  <c r="AA111" i="1"/>
  <c r="V111" i="1"/>
  <c r="X111" i="1" s="1"/>
  <c r="Y111" i="1" s="1"/>
  <c r="AA103" i="1"/>
  <c r="V103" i="1"/>
  <c r="X103" i="1" s="1"/>
  <c r="Y103" i="1" s="1"/>
  <c r="V120" i="1"/>
  <c r="X101" i="1"/>
  <c r="Y101" i="1" s="1"/>
  <c r="W101" i="1"/>
  <c r="W100" i="1"/>
  <c r="X100" i="1"/>
  <c r="Y100" i="1" s="1"/>
  <c r="F37" i="1"/>
  <c r="Z165" i="1"/>
  <c r="F36" i="1"/>
  <c r="G35" i="1"/>
  <c r="L168" i="1"/>
  <c r="M168" i="1" s="1"/>
  <c r="S168" i="1"/>
  <c r="T168" i="1"/>
  <c r="Y167" i="1"/>
  <c r="V170" i="1"/>
  <c r="AA170" i="1"/>
  <c r="S170" i="1"/>
  <c r="T170" i="1"/>
  <c r="L170" i="1"/>
  <c r="M170" i="1" s="1"/>
  <c r="W216" i="1"/>
  <c r="Y216" i="1"/>
  <c r="Y222" i="1"/>
  <c r="W222" i="1"/>
  <c r="W217" i="1"/>
  <c r="Y217" i="1"/>
  <c r="Y152" i="1"/>
  <c r="W138" i="1"/>
  <c r="Y147" i="1"/>
  <c r="W142" i="1"/>
  <c r="W151" i="1"/>
  <c r="W149" i="1"/>
  <c r="T165" i="1"/>
  <c r="Y146" i="1"/>
  <c r="W139" i="1"/>
  <c r="Y148" i="1"/>
  <c r="AA104" i="1"/>
  <c r="W117" i="1"/>
  <c r="W167" i="1"/>
  <c r="W102" i="1"/>
  <c r="AA119" i="1"/>
  <c r="AA120" i="1"/>
  <c r="AA118" i="1"/>
  <c r="AA121" i="1"/>
  <c r="V116" i="1"/>
  <c r="AA116" i="1"/>
  <c r="W106" i="1"/>
  <c r="Z113" i="1"/>
  <c r="K113" i="1" s="1"/>
  <c r="W105" i="1"/>
  <c r="X163" i="1"/>
  <c r="Y163" i="1" s="1"/>
  <c r="W163" i="1"/>
  <c r="U189" i="1"/>
  <c r="G34" i="1" s="1"/>
  <c r="R189" i="1"/>
  <c r="F35" i="1"/>
  <c r="Z190" i="1"/>
  <c r="K190" i="1" s="1"/>
  <c r="S165" i="1"/>
  <c r="L165" i="1"/>
  <c r="M165" i="1" s="1"/>
  <c r="S188" i="1"/>
  <c r="T188" i="1"/>
  <c r="L188" i="1"/>
  <c r="M188" i="1" s="1"/>
  <c r="V188" i="1"/>
  <c r="AA188" i="1"/>
  <c r="F33" i="1"/>
  <c r="X187" i="1"/>
  <c r="Y187" i="1" s="1"/>
  <c r="W187" i="1"/>
  <c r="W180" i="1"/>
  <c r="S15" i="2"/>
  <c r="T14" i="2"/>
  <c r="I28" i="2"/>
  <c r="J27" i="2"/>
  <c r="W183" i="1"/>
  <c r="L42" i="2"/>
  <c r="L17" i="2"/>
  <c r="N16" i="2"/>
  <c r="N42" i="2" s="1"/>
  <c r="C15" i="2"/>
  <c r="D15" i="2" s="1"/>
  <c r="B16" i="2"/>
  <c r="P16" i="2"/>
  <c r="Q15" i="2"/>
  <c r="J14" i="2"/>
  <c r="I15" i="2"/>
  <c r="F14" i="3"/>
  <c r="E15" i="3"/>
  <c r="F15" i="2"/>
  <c r="G14" i="2"/>
  <c r="C48" i="3"/>
  <c r="B49" i="3"/>
  <c r="H15" i="3"/>
  <c r="I14" i="3"/>
  <c r="B15" i="3"/>
  <c r="C14" i="3"/>
  <c r="L14" i="3"/>
  <c r="K15" i="3"/>
  <c r="N14" i="3"/>
  <c r="O14" i="3" s="1"/>
  <c r="T15" i="3"/>
  <c r="U14" i="3"/>
  <c r="R16" i="3" l="1"/>
  <c r="Q17" i="3"/>
  <c r="Y125" i="1"/>
  <c r="AG51" i="1"/>
  <c r="AH51" i="1" s="1"/>
  <c r="S174" i="1"/>
  <c r="T174" i="1"/>
  <c r="AA174" i="1"/>
  <c r="H36" i="1"/>
  <c r="K165" i="1"/>
  <c r="V165" i="1" s="1"/>
  <c r="X165" i="1" s="1"/>
  <c r="I36" i="1" s="1"/>
  <c r="X118" i="1"/>
  <c r="Y118" i="1" s="1"/>
  <c r="W118" i="1"/>
  <c r="X120" i="1"/>
  <c r="Y120" i="1" s="1"/>
  <c r="W120" i="1"/>
  <c r="X104" i="1"/>
  <c r="Y104" i="1" s="1"/>
  <c r="W104" i="1"/>
  <c r="X119" i="1"/>
  <c r="Y119" i="1" s="1"/>
  <c r="W119" i="1"/>
  <c r="X121" i="1"/>
  <c r="Y121" i="1" s="1"/>
  <c r="W121" i="1"/>
  <c r="AA113" i="1"/>
  <c r="V113" i="1"/>
  <c r="X113" i="1" s="1"/>
  <c r="Y113" i="1" s="1"/>
  <c r="V174" i="1"/>
  <c r="X174" i="1" s="1"/>
  <c r="H37" i="1"/>
  <c r="AA165" i="1"/>
  <c r="W168" i="1"/>
  <c r="J36" i="1"/>
  <c r="W166" i="1"/>
  <c r="X170" i="1"/>
  <c r="Y170" i="1" s="1"/>
  <c r="W170" i="1"/>
  <c r="W112" i="1"/>
  <c r="W114" i="1"/>
  <c r="W115" i="1"/>
  <c r="W103" i="1"/>
  <c r="W107" i="1"/>
  <c r="X116" i="1"/>
  <c r="Y116" i="1" s="1"/>
  <c r="W116" i="1"/>
  <c r="W111" i="1"/>
  <c r="AA190" i="1"/>
  <c r="S189" i="1"/>
  <c r="T189" i="1"/>
  <c r="Z189" i="1"/>
  <c r="K189" i="1" s="1"/>
  <c r="F34" i="1"/>
  <c r="X188" i="1"/>
  <c r="Y188" i="1" s="1"/>
  <c r="W188" i="1"/>
  <c r="H33" i="1"/>
  <c r="B17" i="2"/>
  <c r="C16" i="2"/>
  <c r="D16" i="2" s="1"/>
  <c r="I15" i="3"/>
  <c r="H16" i="3"/>
  <c r="K16" i="3"/>
  <c r="L15" i="3"/>
  <c r="N15" i="3"/>
  <c r="O15" i="3" s="1"/>
  <c r="I16" i="2"/>
  <c r="J15" i="2"/>
  <c r="N17" i="2"/>
  <c r="N43" i="2" s="1"/>
  <c r="L43" i="2"/>
  <c r="L18" i="2"/>
  <c r="U15" i="3"/>
  <c r="T16" i="3"/>
  <c r="G15" i="2"/>
  <c r="F16" i="2"/>
  <c r="P17" i="2"/>
  <c r="Q16" i="2"/>
  <c r="J28" i="2"/>
  <c r="I29" i="2"/>
  <c r="E16" i="3"/>
  <c r="F15" i="3"/>
  <c r="C49" i="3"/>
  <c r="B50" i="3"/>
  <c r="C15" i="3"/>
  <c r="B16" i="3"/>
  <c r="T15" i="2"/>
  <c r="S16" i="2"/>
  <c r="Q18" i="3" l="1"/>
  <c r="R17" i="3"/>
  <c r="W165" i="1"/>
  <c r="Y165" i="1"/>
  <c r="W174" i="1"/>
  <c r="Y174" i="1"/>
  <c r="J37" i="1" s="1"/>
  <c r="I37" i="1"/>
  <c r="W113" i="1"/>
  <c r="AA189" i="1"/>
  <c r="H35" i="1"/>
  <c r="V190" i="1"/>
  <c r="J33" i="1"/>
  <c r="I33" i="1"/>
  <c r="E17" i="3"/>
  <c r="F16" i="3"/>
  <c r="L19" i="2"/>
  <c r="N18" i="2"/>
  <c r="N44" i="2" s="1"/>
  <c r="L44" i="2"/>
  <c r="Q17" i="2"/>
  <c r="P18" i="2"/>
  <c r="C17" i="2"/>
  <c r="D17" i="2" s="1"/>
  <c r="B18" i="2"/>
  <c r="K17" i="3"/>
  <c r="N16" i="3"/>
  <c r="O16" i="3" s="1"/>
  <c r="L16" i="3"/>
  <c r="J29" i="2"/>
  <c r="I30" i="2"/>
  <c r="J30" i="2" s="1"/>
  <c r="C50" i="3"/>
  <c r="B51" i="3"/>
  <c r="C51" i="3" s="1"/>
  <c r="F17" i="2"/>
  <c r="G16" i="2"/>
  <c r="I17" i="2"/>
  <c r="J16" i="2"/>
  <c r="U16" i="3"/>
  <c r="T17" i="3"/>
  <c r="S17" i="2"/>
  <c r="T16" i="2"/>
  <c r="H17" i="3"/>
  <c r="I16" i="3"/>
  <c r="B17" i="3"/>
  <c r="C16" i="3"/>
  <c r="R18" i="3" l="1"/>
  <c r="Q19" i="3"/>
  <c r="AI46" i="1"/>
  <c r="V189" i="1"/>
  <c r="H34" i="1"/>
  <c r="X190" i="1"/>
  <c r="W190" i="1"/>
  <c r="S18" i="2"/>
  <c r="T17" i="2"/>
  <c r="C17" i="3"/>
  <c r="B18" i="3"/>
  <c r="J17" i="2"/>
  <c r="I18" i="2"/>
  <c r="L45" i="2"/>
  <c r="N19" i="2"/>
  <c r="N45" i="2" s="1"/>
  <c r="L20" i="2"/>
  <c r="Q18" i="2"/>
  <c r="P19" i="2"/>
  <c r="U17" i="3"/>
  <c r="T18" i="3"/>
  <c r="L17" i="3"/>
  <c r="K18" i="3"/>
  <c r="N17" i="3"/>
  <c r="O17" i="3" s="1"/>
  <c r="I17" i="3"/>
  <c r="H18" i="3"/>
  <c r="F18" i="2"/>
  <c r="G17" i="2"/>
  <c r="B19" i="2"/>
  <c r="C18" i="2"/>
  <c r="D18" i="2" s="1"/>
  <c r="E18" i="3"/>
  <c r="F17" i="3"/>
  <c r="Q20" i="3" l="1"/>
  <c r="R19" i="3"/>
  <c r="AI45" i="1"/>
  <c r="Y190" i="1"/>
  <c r="J35" i="1" s="1"/>
  <c r="I35" i="1"/>
  <c r="X189" i="1"/>
  <c r="W189" i="1"/>
  <c r="I19" i="2"/>
  <c r="J19" i="2" s="1"/>
  <c r="J18" i="2"/>
  <c r="G18" i="2"/>
  <c r="F19" i="2"/>
  <c r="I18" i="3"/>
  <c r="H19" i="3"/>
  <c r="B19" i="3"/>
  <c r="C18" i="3"/>
  <c r="B20" i="2"/>
  <c r="C19" i="2"/>
  <c r="D19" i="2" s="1"/>
  <c r="T19" i="3"/>
  <c r="U18" i="3"/>
  <c r="Q19" i="2"/>
  <c r="P20" i="2"/>
  <c r="E19" i="3"/>
  <c r="F18" i="3"/>
  <c r="L18" i="3"/>
  <c r="N18" i="3"/>
  <c r="O18" i="3" s="1"/>
  <c r="K19" i="3"/>
  <c r="L21" i="2"/>
  <c r="L46" i="2"/>
  <c r="N20" i="2"/>
  <c r="N46" i="2" s="1"/>
  <c r="S19" i="2"/>
  <c r="T18" i="2"/>
  <c r="R20" i="3" l="1"/>
  <c r="Q21" i="3"/>
  <c r="Y189" i="1"/>
  <c r="J34" i="1" s="1"/>
  <c r="I34" i="1"/>
  <c r="Q20" i="2"/>
  <c r="P21" i="2"/>
  <c r="N19" i="3"/>
  <c r="O19" i="3" s="1"/>
  <c r="L19" i="3"/>
  <c r="K20" i="3"/>
  <c r="U19" i="3"/>
  <c r="T20" i="3"/>
  <c r="C19" i="3"/>
  <c r="B20" i="3"/>
  <c r="L22" i="2"/>
  <c r="N21" i="2"/>
  <c r="N47" i="2" s="1"/>
  <c r="L47" i="2"/>
  <c r="I19" i="3"/>
  <c r="H20" i="3"/>
  <c r="F20" i="2"/>
  <c r="G19" i="2"/>
  <c r="T19" i="2"/>
  <c r="S20" i="2"/>
  <c r="F19" i="3"/>
  <c r="E20" i="3"/>
  <c r="C20" i="2"/>
  <c r="D20" i="2" s="1"/>
  <c r="B21" i="2"/>
  <c r="R21" i="3" l="1"/>
  <c r="Q22" i="3"/>
  <c r="C21" i="2"/>
  <c r="D21" i="2" s="1"/>
  <c r="B22" i="2"/>
  <c r="H21" i="3"/>
  <c r="I20" i="3"/>
  <c r="T21" i="3"/>
  <c r="U20" i="3"/>
  <c r="F20" i="3"/>
  <c r="E21" i="3"/>
  <c r="C20" i="3"/>
  <c r="B21" i="3"/>
  <c r="Q21" i="2"/>
  <c r="P22" i="2"/>
  <c r="N20" i="3"/>
  <c r="O20" i="3" s="1"/>
  <c r="K21" i="3"/>
  <c r="L20" i="3"/>
  <c r="T20" i="2"/>
  <c r="S21" i="2"/>
  <c r="L48" i="2"/>
  <c r="L23" i="2"/>
  <c r="N22" i="2"/>
  <c r="N48" i="2" s="1"/>
  <c r="F21" i="2"/>
  <c r="G20" i="2"/>
  <c r="Q23" i="3" l="1"/>
  <c r="R22" i="3"/>
  <c r="K22" i="3"/>
  <c r="L21" i="3"/>
  <c r="N21" i="3"/>
  <c r="O21" i="3" s="1"/>
  <c r="F22" i="2"/>
  <c r="G21" i="2"/>
  <c r="T22" i="3"/>
  <c r="U21" i="3"/>
  <c r="P23" i="2"/>
  <c r="Q22" i="2"/>
  <c r="E22" i="3"/>
  <c r="F21" i="3"/>
  <c r="L24" i="2"/>
  <c r="N23" i="2"/>
  <c r="N49" i="2" s="1"/>
  <c r="L49" i="2"/>
  <c r="H22" i="3"/>
  <c r="I21" i="3"/>
  <c r="C21" i="3"/>
  <c r="B22" i="3"/>
  <c r="B23" i="2"/>
  <c r="C22" i="2"/>
  <c r="D22" i="2" s="1"/>
  <c r="S22" i="2"/>
  <c r="T21" i="2"/>
  <c r="Q24" i="3" l="1"/>
  <c r="R23" i="3"/>
  <c r="T22" i="2"/>
  <c r="S23" i="2"/>
  <c r="H23" i="3"/>
  <c r="I23" i="3" s="1"/>
  <c r="I22" i="3"/>
  <c r="B24" i="2"/>
  <c r="C23" i="2"/>
  <c r="D23" i="2" s="1"/>
  <c r="C22" i="3"/>
  <c r="B23" i="3"/>
  <c r="F23" i="2"/>
  <c r="G22" i="2"/>
  <c r="F22" i="3"/>
  <c r="E23" i="3"/>
  <c r="Q23" i="2"/>
  <c r="P24" i="2"/>
  <c r="U22" i="3"/>
  <c r="T23" i="3"/>
  <c r="L25" i="2"/>
  <c r="N24" i="2"/>
  <c r="N50" i="2" s="1"/>
  <c r="L50" i="2"/>
  <c r="L22" i="3"/>
  <c r="K23" i="3"/>
  <c r="N22" i="3"/>
  <c r="O22" i="3" s="1"/>
  <c r="R24" i="3" l="1"/>
  <c r="Q25" i="3"/>
  <c r="F23" i="3"/>
  <c r="E24" i="3"/>
  <c r="P25" i="2"/>
  <c r="Q24" i="2"/>
  <c r="N23" i="3"/>
  <c r="O23" i="3" s="1"/>
  <c r="K24" i="3"/>
  <c r="L23" i="3"/>
  <c r="L26" i="2"/>
  <c r="N25" i="2"/>
  <c r="N51" i="2" s="1"/>
  <c r="L51" i="2"/>
  <c r="T24" i="3"/>
  <c r="U23" i="3"/>
  <c r="S24" i="2"/>
  <c r="T23" i="2"/>
  <c r="C23" i="3"/>
  <c r="B24" i="3"/>
  <c r="B25" i="2"/>
  <c r="C24" i="2"/>
  <c r="D24" i="2" s="1"/>
  <c r="F24" i="2"/>
  <c r="G23" i="2"/>
  <c r="Q26" i="3" l="1"/>
  <c r="R25" i="3"/>
  <c r="T24" i="2"/>
  <c r="S25" i="2"/>
  <c r="N24" i="3"/>
  <c r="O24" i="3" s="1"/>
  <c r="K25" i="3"/>
  <c r="L24" i="3"/>
  <c r="F25" i="2"/>
  <c r="G25" i="2" s="1"/>
  <c r="G24" i="2"/>
  <c r="T25" i="3"/>
  <c r="U24" i="3"/>
  <c r="C25" i="2"/>
  <c r="D25" i="2" s="1"/>
  <c r="B26" i="2"/>
  <c r="L52" i="2"/>
  <c r="L27" i="2"/>
  <c r="N26" i="2"/>
  <c r="N52" i="2" s="1"/>
  <c r="P26" i="2"/>
  <c r="Q25" i="2"/>
  <c r="B25" i="3"/>
  <c r="C24" i="3"/>
  <c r="F24" i="3"/>
  <c r="E25" i="3"/>
  <c r="R26" i="3" l="1"/>
  <c r="Q27" i="3"/>
  <c r="L25" i="3"/>
  <c r="K26" i="3"/>
  <c r="N25" i="3"/>
  <c r="O25" i="3" s="1"/>
  <c r="F25" i="3"/>
  <c r="E26" i="3"/>
  <c r="F26" i="3" s="1"/>
  <c r="U25" i="3"/>
  <c r="T26" i="3"/>
  <c r="C26" i="2"/>
  <c r="D26" i="2" s="1"/>
  <c r="B27" i="2"/>
  <c r="N27" i="2"/>
  <c r="N53" i="2" s="1"/>
  <c r="L53" i="2"/>
  <c r="L28" i="2"/>
  <c r="C25" i="3"/>
  <c r="B26" i="3"/>
  <c r="S26" i="2"/>
  <c r="T25" i="2"/>
  <c r="Q26" i="2"/>
  <c r="P27" i="2"/>
  <c r="Q28" i="3" l="1"/>
  <c r="R27" i="3"/>
  <c r="C26" i="3"/>
  <c r="B27" i="3"/>
  <c r="T27" i="3"/>
  <c r="U26" i="3"/>
  <c r="P28" i="2"/>
  <c r="Q27" i="2"/>
  <c r="N28" i="2"/>
  <c r="N54" i="2" s="1"/>
  <c r="L54" i="2"/>
  <c r="K27" i="3"/>
  <c r="L26" i="3"/>
  <c r="N26" i="3"/>
  <c r="O26" i="3" s="1"/>
  <c r="T26" i="2"/>
  <c r="S27" i="2"/>
  <c r="B28" i="2"/>
  <c r="C27" i="2"/>
  <c r="D27" i="2" s="1"/>
  <c r="Q29" i="3" l="1"/>
  <c r="R28" i="3"/>
  <c r="B29" i="2"/>
  <c r="C28" i="2"/>
  <c r="D28" i="2" s="1"/>
  <c r="P29" i="2"/>
  <c r="Q28" i="2"/>
  <c r="K28" i="3"/>
  <c r="L27" i="3"/>
  <c r="N27" i="3"/>
  <c r="O27" i="3" s="1"/>
  <c r="U27" i="3"/>
  <c r="T28" i="3"/>
  <c r="B28" i="3"/>
  <c r="C27" i="3"/>
  <c r="S28" i="2"/>
  <c r="T27" i="2"/>
  <c r="R29" i="3" l="1"/>
  <c r="Q30" i="3"/>
  <c r="S29" i="2"/>
  <c r="T28" i="2"/>
  <c r="L28" i="3"/>
  <c r="N28" i="3"/>
  <c r="O28" i="3" s="1"/>
  <c r="K29" i="3"/>
  <c r="C28" i="3"/>
  <c r="B29" i="3"/>
  <c r="Q29" i="2"/>
  <c r="P30" i="2"/>
  <c r="U28" i="3"/>
  <c r="T29" i="3"/>
  <c r="B30" i="2"/>
  <c r="C29" i="2"/>
  <c r="D29" i="2" s="1"/>
  <c r="R30" i="3" l="1"/>
  <c r="Q31" i="3"/>
  <c r="B32" i="2"/>
  <c r="C30" i="2"/>
  <c r="D30" i="2" s="1"/>
  <c r="B30" i="3"/>
  <c r="C29" i="3"/>
  <c r="U29" i="3"/>
  <c r="T30" i="3"/>
  <c r="K30" i="3"/>
  <c r="N29" i="3"/>
  <c r="O29" i="3" s="1"/>
  <c r="L29" i="3"/>
  <c r="P32" i="2"/>
  <c r="Q30" i="2"/>
  <c r="S30" i="2"/>
  <c r="T29" i="2"/>
  <c r="R31" i="3" l="1"/>
  <c r="Q32" i="3"/>
  <c r="L30" i="3"/>
  <c r="N30" i="3"/>
  <c r="O30" i="3" s="1"/>
  <c r="K31" i="3"/>
  <c r="U30" i="3"/>
  <c r="T31" i="3"/>
  <c r="T30" i="2"/>
  <c r="S32" i="2"/>
  <c r="B31" i="3"/>
  <c r="C30" i="3"/>
  <c r="P33" i="2"/>
  <c r="Q32" i="2"/>
  <c r="B33" i="2"/>
  <c r="C32" i="2"/>
  <c r="D32" i="2" s="1"/>
  <c r="Q33" i="3" l="1"/>
  <c r="R32" i="3"/>
  <c r="B32" i="3"/>
  <c r="C31" i="3"/>
  <c r="U31" i="3"/>
  <c r="T32" i="3"/>
  <c r="B34" i="2"/>
  <c r="C33" i="2"/>
  <c r="D33" i="2" s="1"/>
  <c r="K32" i="3"/>
  <c r="N31" i="3"/>
  <c r="O31" i="3" s="1"/>
  <c r="L31" i="3"/>
  <c r="P34" i="2"/>
  <c r="Q33" i="2"/>
  <c r="T32" i="2"/>
  <c r="S33" i="2"/>
  <c r="Q34" i="3" l="1"/>
  <c r="R33" i="3"/>
  <c r="N32" i="3"/>
  <c r="O32" i="3" s="1"/>
  <c r="L32" i="3"/>
  <c r="K33" i="3"/>
  <c r="S34" i="2"/>
  <c r="T33" i="2"/>
  <c r="Q34" i="2"/>
  <c r="P35" i="2"/>
  <c r="B35" i="2"/>
  <c r="C34" i="2"/>
  <c r="D34" i="2" s="1"/>
  <c r="T33" i="3"/>
  <c r="U32" i="3"/>
  <c r="C32" i="3"/>
  <c r="B33" i="3"/>
  <c r="Q35" i="3" l="1"/>
  <c r="R34" i="3"/>
  <c r="C33" i="3"/>
  <c r="B34" i="3"/>
  <c r="T34" i="3"/>
  <c r="U33" i="3"/>
  <c r="T34" i="2"/>
  <c r="S35" i="2"/>
  <c r="L33" i="3"/>
  <c r="K34" i="3"/>
  <c r="N33" i="3"/>
  <c r="O33" i="3" s="1"/>
  <c r="B36" i="2"/>
  <c r="C35" i="2"/>
  <c r="D35" i="2" s="1"/>
  <c r="P36" i="2"/>
  <c r="Q35" i="2"/>
  <c r="Q36" i="3" l="1"/>
  <c r="R35" i="3"/>
  <c r="Q36" i="2"/>
  <c r="P37" i="2"/>
  <c r="K35" i="3"/>
  <c r="N34" i="3"/>
  <c r="O34" i="3" s="1"/>
  <c r="L34" i="3"/>
  <c r="S36" i="2"/>
  <c r="T35" i="2"/>
  <c r="U34" i="3"/>
  <c r="T35" i="3"/>
  <c r="B37" i="2"/>
  <c r="C36" i="2"/>
  <c r="D36" i="2" s="1"/>
  <c r="C34" i="3"/>
  <c r="B35" i="3"/>
  <c r="R36" i="3" l="1"/>
  <c r="Q37" i="3"/>
  <c r="C35" i="3"/>
  <c r="B36" i="3"/>
  <c r="S37" i="2"/>
  <c r="T36" i="2"/>
  <c r="C37" i="2"/>
  <c r="D37" i="2" s="1"/>
  <c r="B38" i="2"/>
  <c r="L35" i="3"/>
  <c r="K36" i="3"/>
  <c r="N35" i="3"/>
  <c r="O35" i="3" s="1"/>
  <c r="Q37" i="2"/>
  <c r="P38" i="2"/>
  <c r="Q38" i="2" s="1"/>
  <c r="T36" i="3"/>
  <c r="U35" i="3"/>
  <c r="R37" i="3" l="1"/>
  <c r="Q38" i="3"/>
  <c r="C38" i="2"/>
  <c r="D38" i="2" s="1"/>
  <c r="B39" i="2"/>
  <c r="C36" i="3"/>
  <c r="B37" i="3"/>
  <c r="U36" i="3"/>
  <c r="T37" i="3"/>
  <c r="S38" i="2"/>
  <c r="T37" i="2"/>
  <c r="L36" i="3"/>
  <c r="N36" i="3"/>
  <c r="O36" i="3" s="1"/>
  <c r="K37" i="3"/>
  <c r="Q39" i="3" l="1"/>
  <c r="R38" i="3"/>
  <c r="U37" i="3"/>
  <c r="T38" i="3"/>
  <c r="C37" i="3"/>
  <c r="B38" i="3"/>
  <c r="K38" i="3"/>
  <c r="L37" i="3"/>
  <c r="N37" i="3"/>
  <c r="O37" i="3" s="1"/>
  <c r="B40" i="2"/>
  <c r="C39" i="2"/>
  <c r="D39" i="2" s="1"/>
  <c r="S39" i="2"/>
  <c r="T38" i="2"/>
  <c r="R39" i="3" l="1"/>
  <c r="Q40" i="3"/>
  <c r="S40" i="2"/>
  <c r="T39" i="2"/>
  <c r="B39" i="3"/>
  <c r="C38" i="3"/>
  <c r="L38" i="3"/>
  <c r="K39" i="3"/>
  <c r="N38" i="3"/>
  <c r="O38" i="3" s="1"/>
  <c r="T39" i="3"/>
  <c r="U38" i="3"/>
  <c r="B41" i="2"/>
  <c r="C40" i="2"/>
  <c r="D40" i="2" s="1"/>
  <c r="R40" i="3" l="1"/>
  <c r="Q41" i="3"/>
  <c r="B42" i="2"/>
  <c r="C41" i="2"/>
  <c r="D41" i="2" s="1"/>
  <c r="T40" i="3"/>
  <c r="U39" i="3"/>
  <c r="L39" i="3"/>
  <c r="K40" i="3"/>
  <c r="C39" i="3"/>
  <c r="B40" i="3"/>
  <c r="C40" i="3" s="1"/>
  <c r="S41" i="2"/>
  <c r="T40" i="2"/>
  <c r="R41" i="3" l="1"/>
  <c r="Q42" i="3"/>
  <c r="R42" i="3" s="1"/>
  <c r="L40" i="3"/>
  <c r="K41" i="3"/>
  <c r="U40" i="3"/>
  <c r="T41" i="3"/>
  <c r="T41" i="2"/>
  <c r="S42" i="2"/>
  <c r="C42" i="2"/>
  <c r="D42" i="2" s="1"/>
  <c r="B43" i="2"/>
  <c r="B44" i="2" l="1"/>
  <c r="C43" i="2"/>
  <c r="D43" i="2" s="1"/>
  <c r="T42" i="2"/>
  <c r="S43" i="2"/>
  <c r="U41" i="3"/>
  <c r="T42" i="3"/>
  <c r="L41" i="3"/>
  <c r="K42" i="3"/>
  <c r="K43" i="3" l="1"/>
  <c r="L42" i="3"/>
  <c r="U42" i="3"/>
  <c r="T43" i="3"/>
  <c r="T43" i="2"/>
  <c r="S44" i="2"/>
  <c r="C44" i="2"/>
  <c r="D44" i="2" s="1"/>
  <c r="B45" i="2"/>
  <c r="B46" i="2" l="1"/>
  <c r="C45" i="2"/>
  <c r="D45" i="2" s="1"/>
  <c r="S45" i="2"/>
  <c r="T44" i="2"/>
  <c r="U43" i="3"/>
  <c r="T44" i="3"/>
  <c r="K44" i="3"/>
  <c r="L43" i="3"/>
  <c r="L44" i="3" l="1"/>
  <c r="K45" i="3"/>
  <c r="U44" i="3"/>
  <c r="T45" i="3"/>
  <c r="T45" i="2"/>
  <c r="S46" i="2"/>
  <c r="B47" i="2"/>
  <c r="C47" i="2" s="1"/>
  <c r="D47" i="2" s="1"/>
  <c r="C46" i="2"/>
  <c r="D46" i="2" s="1"/>
  <c r="T46" i="2" l="1"/>
  <c r="S47" i="2"/>
  <c r="T47" i="2" s="1"/>
  <c r="U45" i="3"/>
  <c r="T46" i="3"/>
  <c r="K46" i="3"/>
  <c r="L45" i="3"/>
  <c r="K47" i="3" l="1"/>
  <c r="L46" i="3"/>
  <c r="T47" i="3"/>
  <c r="U46" i="3"/>
  <c r="U47" i="3" l="1"/>
  <c r="T48" i="3"/>
  <c r="K48" i="3"/>
  <c r="L47" i="3"/>
  <c r="L48" i="3" l="1"/>
  <c r="K49" i="3"/>
  <c r="U48" i="3"/>
  <c r="T49" i="3"/>
  <c r="U49" i="3" l="1"/>
  <c r="T50" i="3"/>
  <c r="U50" i="3" s="1"/>
  <c r="K50" i="3"/>
  <c r="L49" i="3"/>
  <c r="L50" i="3" l="1"/>
  <c r="K51" i="3"/>
  <c r="L51" i="3" s="1"/>
  <c r="H157" i="1" l="1"/>
  <c r="AD222" i="1" l="1"/>
  <c r="AC93" i="1"/>
  <c r="AC86" i="1" s="1"/>
  <c r="AE86" i="1" s="1"/>
  <c r="R157" i="1"/>
  <c r="U157" i="1"/>
  <c r="I157" i="1"/>
  <c r="T157" i="1" s="1"/>
  <c r="J157" i="1"/>
  <c r="AD93" i="1" s="1"/>
  <c r="AD86" i="1" s="1"/>
  <c r="Z157" i="1" l="1"/>
  <c r="AA157" i="1" s="1"/>
  <c r="AC222" i="1"/>
  <c r="L157" i="1"/>
  <c r="M157" i="1" s="1"/>
  <c r="S157" i="1"/>
  <c r="K157" i="1" l="1"/>
  <c r="V157" i="1" l="1"/>
  <c r="X157" i="1" s="1"/>
  <c r="AG93" i="1" s="1"/>
  <c r="AH93" i="1" s="1"/>
  <c r="AF93" i="1"/>
  <c r="AF86" i="1" s="1"/>
  <c r="AG86" i="1" s="1"/>
  <c r="AH86" i="1" s="1"/>
  <c r="W157" i="1" l="1"/>
  <c r="Y157" i="1"/>
  <c r="H132" i="1" l="1"/>
  <c r="AC64" i="1" s="1"/>
  <c r="AC62" i="1" s="1"/>
  <c r="AE62" i="1" s="1"/>
  <c r="I132" i="1" l="1"/>
  <c r="L132" i="1" s="1"/>
  <c r="M132" i="1" s="1"/>
  <c r="R132" i="1"/>
  <c r="AD197" i="1"/>
  <c r="J132" i="1"/>
  <c r="AD64" i="1" s="1"/>
  <c r="AD62" i="1" s="1"/>
  <c r="U132" i="1"/>
  <c r="T132" i="1" l="1"/>
  <c r="S132" i="1"/>
  <c r="AC197" i="1"/>
  <c r="Z132" i="1"/>
  <c r="AA132" i="1" l="1"/>
  <c r="K132" i="1"/>
  <c r="AF64" i="1" s="1"/>
  <c r="AF62" i="1" s="1"/>
  <c r="AG62" i="1" s="1"/>
  <c r="AH62" i="1" s="1"/>
  <c r="V132" i="1" l="1"/>
  <c r="X132" i="1" l="1"/>
  <c r="AG64" i="1" s="1"/>
  <c r="AH64" i="1" s="1"/>
  <c r="W132" i="1"/>
  <c r="Y132" i="1" l="1"/>
  <c r="H150" i="1"/>
  <c r="U150" i="1" l="1"/>
  <c r="AC84" i="1"/>
  <c r="AC80" i="1" s="1"/>
  <c r="AE80" i="1" s="1"/>
  <c r="R150" i="1"/>
  <c r="J150" i="1"/>
  <c r="AD84" i="1" s="1"/>
  <c r="AD80" i="1" s="1"/>
  <c r="E26" i="1"/>
  <c r="I150" i="1"/>
  <c r="AD215" i="1"/>
  <c r="E27" i="1" l="1"/>
  <c r="F26" i="1"/>
  <c r="Z150" i="1"/>
  <c r="AA150" i="1" s="1"/>
  <c r="G26" i="1"/>
  <c r="T150" i="1"/>
  <c r="S150" i="1"/>
  <c r="L150" i="1"/>
  <c r="M150" i="1" s="1"/>
  <c r="AC215" i="1"/>
  <c r="F27" i="1" l="1"/>
  <c r="G27" i="1"/>
  <c r="K150" i="1"/>
  <c r="V150" i="1" l="1"/>
  <c r="X150" i="1" s="1"/>
  <c r="AG84" i="1" s="1"/>
  <c r="AH84" i="1" s="1"/>
  <c r="AF84" i="1"/>
  <c r="AF80" i="1" s="1"/>
  <c r="AG80" i="1" l="1"/>
  <c r="H26" i="1"/>
  <c r="W150" i="1"/>
  <c r="I27" i="1"/>
  <c r="H27" i="1"/>
  <c r="Y150" i="1"/>
  <c r="AH80" i="1" l="1"/>
  <c r="J26" i="1" s="1"/>
  <c r="I26" i="1"/>
  <c r="J27" i="1"/>
  <c r="H131" i="1"/>
  <c r="AC60" i="1" s="1"/>
  <c r="AC56" i="1" s="1"/>
  <c r="AE56" i="1" s="1"/>
  <c r="AD196" i="1" l="1"/>
  <c r="J131" i="1"/>
  <c r="AD60" i="1" s="1"/>
  <c r="AD56" i="1" s="1"/>
  <c r="R131" i="1"/>
  <c r="U131" i="1"/>
  <c r="I131" i="1"/>
  <c r="S131" i="1" l="1"/>
  <c r="AC196" i="1"/>
  <c r="T131" i="1"/>
  <c r="L131" i="1"/>
  <c r="M131" i="1" s="1"/>
  <c r="Z131" i="1"/>
  <c r="AA131" i="1" l="1"/>
  <c r="K131" i="1"/>
  <c r="AF60" i="1" s="1"/>
  <c r="AF56" i="1" s="1"/>
  <c r="AG56" i="1" s="1"/>
  <c r="AH56" i="1" s="1"/>
  <c r="V131" i="1" l="1"/>
  <c r="X131" i="1" l="1"/>
  <c r="AG60" i="1" s="1"/>
  <c r="AH60" i="1" s="1"/>
  <c r="W131" i="1"/>
  <c r="Y131" i="1" l="1"/>
  <c r="U127" i="1" l="1"/>
  <c r="I127" i="1" l="1"/>
  <c r="AD192" i="1"/>
  <c r="J127" i="1"/>
  <c r="AD53" i="1" s="1"/>
  <c r="AD54" i="1" s="1"/>
  <c r="R127" i="1"/>
  <c r="E23" i="1" l="1"/>
  <c r="Z127" i="1"/>
  <c r="L127" i="1"/>
  <c r="M127" i="1" s="1"/>
  <c r="AC192" i="1"/>
  <c r="T127" i="1"/>
  <c r="S127" i="1"/>
  <c r="E25" i="1" l="1"/>
  <c r="E24" i="1"/>
  <c r="K127" i="1"/>
  <c r="AF53" i="1" s="1"/>
  <c r="AF54" i="1" s="1"/>
  <c r="AG54" i="1" s="1"/>
  <c r="AH54" i="1" s="1"/>
  <c r="AA127" i="1"/>
  <c r="F25" i="1" l="1"/>
  <c r="J25" i="1"/>
  <c r="I25" i="1"/>
  <c r="H25" i="1"/>
  <c r="I24" i="1"/>
  <c r="J24" i="1"/>
  <c r="H24" i="1"/>
  <c r="F23" i="1"/>
  <c r="G25" i="1"/>
  <c r="G24" i="1"/>
  <c r="F24" i="1"/>
  <c r="G23" i="1"/>
  <c r="V127" i="1"/>
  <c r="I23" i="1" l="1"/>
  <c r="H23" i="1"/>
  <c r="X127" i="1"/>
  <c r="AG53" i="1" s="1"/>
  <c r="AH53" i="1" s="1"/>
  <c r="W127" i="1"/>
  <c r="AI47" i="1" l="1"/>
  <c r="Y127" i="1"/>
  <c r="J23" i="1" l="1"/>
  <c r="AI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REVIEWER</author>
    <author>browngr</author>
    <author>aa</author>
  </authors>
  <commentList>
    <comment ref="H11" authorId="0" shapeId="0" xr:uid="{00000000-0006-0000-0100-000001000000}">
      <text>
        <r>
          <rPr>
            <b/>
            <sz val="18"/>
            <color indexed="81"/>
            <rFont val="Tahoma"/>
            <family val="2"/>
          </rPr>
          <t>Note: Some farms may be billed for kVa rather than kW.</t>
        </r>
      </text>
    </comment>
    <comment ref="H12" authorId="1" shapeId="0" xr:uid="{00000000-0006-0000-0100-000002000000}">
      <text>
        <r>
          <rPr>
            <b/>
            <sz val="18"/>
            <color indexed="81"/>
            <rFont val="Tahoma"/>
            <family val="2"/>
          </rPr>
          <t>Note: Peak power demand is the network charge associated with the maximum amount of energy being drawn at any one time. If unsure if you are billed this way, leave as '0.00'.</t>
        </r>
      </text>
    </comment>
    <comment ref="C14" authorId="0" shapeId="0" xr:uid="{00000000-0006-0000-0100-000003000000}">
      <text>
        <r>
          <rPr>
            <b/>
            <sz val="8"/>
            <color indexed="81"/>
            <rFont val="Tahoma"/>
            <family val="2"/>
          </rPr>
          <t xml:space="preserve">
</t>
        </r>
        <r>
          <rPr>
            <b/>
            <sz val="18"/>
            <color indexed="81"/>
            <rFont val="Tahoma"/>
            <family val="2"/>
          </rPr>
          <t>Note: if you have ceiling baffles, set the 'Ceiling Peak Height' to the height of the baffle above the shed floor.</t>
        </r>
      </text>
    </comment>
    <comment ref="C15" authorId="0" shapeId="0" xr:uid="{00000000-0006-0000-0100-000004000000}">
      <text>
        <r>
          <rPr>
            <b/>
            <sz val="18"/>
            <color indexed="81"/>
            <rFont val="Tahoma"/>
            <family val="2"/>
          </rPr>
          <t>Note: Dropped ceilings are used in the United States but rarely seen in Australia. If unsure, leave as is.</t>
        </r>
      </text>
    </comment>
    <comment ref="E98" authorId="0" shapeId="0" xr:uid="{00000000-0006-0000-0100-000005000000}">
      <text>
        <r>
          <rPr>
            <b/>
            <sz val="18"/>
            <color indexed="81"/>
            <rFont val="Tahoma"/>
            <family val="2"/>
          </rPr>
          <t>This is the pressure at the fans, so will usually be greater than the shed static pressure</t>
        </r>
      </text>
    </comment>
    <comment ref="J98" authorId="0" shapeId="0" xr:uid="{00000000-0006-0000-0100-000006000000}">
      <text>
        <r>
          <rPr>
            <b/>
            <sz val="18"/>
            <color indexed="81"/>
            <rFont val="Tahoma"/>
            <family val="2"/>
          </rPr>
          <t>Note: if calculating peak power load, you may need to use the power consumption at higher static pressure - refer to your fan test report</t>
        </r>
      </text>
    </comment>
    <comment ref="R99" authorId="2" shapeId="0" xr:uid="{00000000-0006-0000-0100-000007000000}">
      <text>
        <r>
          <rPr>
            <sz val="18"/>
            <color indexed="81"/>
            <rFont val="Tahoma"/>
            <family val="2"/>
          </rPr>
          <t xml:space="preserve">Based on </t>
        </r>
        <r>
          <rPr>
            <i/>
            <sz val="18"/>
            <color indexed="81"/>
            <rFont val="Tahoma"/>
            <family val="2"/>
          </rPr>
          <t xml:space="preserve">Poultry Housing Tips—Pad System Cooling, Installation and Management. </t>
        </r>
        <r>
          <rPr>
            <sz val="18"/>
            <color indexed="81"/>
            <rFont val="Tahoma"/>
            <family val="2"/>
          </rPr>
          <t>(July 2001, vol. 13 No.8 — 1m² per 6858 m³/hr</t>
        </r>
      </text>
    </comment>
    <comment ref="S99" authorId="2" shapeId="0" xr:uid="{00000000-0006-0000-0100-000008000000}">
      <text>
        <r>
          <rPr>
            <sz val="18"/>
            <color indexed="81"/>
            <rFont val="Tahoma"/>
            <family val="2"/>
          </rPr>
          <t xml:space="preserve">Based on </t>
        </r>
        <r>
          <rPr>
            <i/>
            <sz val="18"/>
            <color indexed="81"/>
            <rFont val="Tahoma"/>
            <family val="2"/>
          </rPr>
          <t>Poultry Housing Tips—Six-inch pad system water usage and pipe sizing</t>
        </r>
        <r>
          <rPr>
            <sz val="18"/>
            <color indexed="81"/>
            <rFont val="Tahoma"/>
            <family val="2"/>
          </rPr>
          <t xml:space="preserve">. (June 2006, vol. 18 No.6
</t>
        </r>
      </text>
    </comment>
    <comment ref="Z99" authorId="1" shapeId="0" xr:uid="{00000000-0006-0000-0100-000009000000}">
      <text>
        <r>
          <rPr>
            <b/>
            <sz val="18"/>
            <color indexed="81"/>
            <rFont val="Tahoma"/>
            <family val="2"/>
          </rPr>
          <t>Based on hitting peak load once per batch</t>
        </r>
      </text>
    </comment>
    <comment ref="E161" authorId="0" shapeId="0" xr:uid="{00000000-0006-0000-0100-00000A000000}">
      <text>
        <r>
          <rPr>
            <b/>
            <sz val="18"/>
            <color indexed="81"/>
            <rFont val="Tahoma"/>
            <family val="2"/>
          </rPr>
          <t>This is the pressure at the fans, so will usually be greater than the shed static pressure</t>
        </r>
      </text>
    </comment>
    <comment ref="J161" authorId="0" shapeId="0" xr:uid="{00000000-0006-0000-0100-00000B000000}">
      <text>
        <r>
          <rPr>
            <b/>
            <sz val="18"/>
            <color indexed="81"/>
            <rFont val="Tahoma"/>
            <family val="2"/>
          </rPr>
          <t>Note: if calculating peak power load, you may need to use the power consumption at higher static pressure - refer to your fan test report</t>
        </r>
      </text>
    </comment>
    <comment ref="R162" authorId="2" shapeId="0" xr:uid="{00000000-0006-0000-0100-00000C000000}">
      <text>
        <r>
          <rPr>
            <sz val="18"/>
            <color indexed="81"/>
            <rFont val="Tahoma"/>
            <family val="2"/>
          </rPr>
          <t xml:space="preserve">Based on </t>
        </r>
        <r>
          <rPr>
            <i/>
            <sz val="18"/>
            <color indexed="81"/>
            <rFont val="Tahoma"/>
            <family val="2"/>
          </rPr>
          <t xml:space="preserve">Poultry Housing Tips—Pad System Cooling, Installation and Management. </t>
        </r>
        <r>
          <rPr>
            <sz val="18"/>
            <color indexed="81"/>
            <rFont val="Tahoma"/>
            <family val="2"/>
          </rPr>
          <t>(July 2001, vol. 13 No.8 — 1m² per 6858 m³/hr</t>
        </r>
      </text>
    </comment>
    <comment ref="S162" authorId="2" shapeId="0" xr:uid="{00000000-0006-0000-0100-00000D000000}">
      <text>
        <r>
          <rPr>
            <sz val="18"/>
            <color indexed="81"/>
            <rFont val="Tahoma"/>
            <family val="2"/>
          </rPr>
          <t xml:space="preserve">Based on </t>
        </r>
        <r>
          <rPr>
            <i/>
            <sz val="18"/>
            <color indexed="81"/>
            <rFont val="Tahoma"/>
            <family val="2"/>
          </rPr>
          <t>Poultry Housing Tips—Six-inch pad system water usage and pipe sizing</t>
        </r>
        <r>
          <rPr>
            <sz val="18"/>
            <color indexed="81"/>
            <rFont val="Tahoma"/>
            <family val="2"/>
          </rPr>
          <t xml:space="preserve">. (June 2006, vol. 18 No.6
</t>
        </r>
      </text>
    </comment>
    <comment ref="Z162" authorId="1" shapeId="0" xr:uid="{00000000-0006-0000-0100-00000E000000}">
      <text>
        <r>
          <rPr>
            <b/>
            <sz val="18"/>
            <color indexed="81"/>
            <rFont val="Tahoma"/>
            <family val="2"/>
          </rPr>
          <t>Based on hitting peak load once per batch</t>
        </r>
      </text>
    </comment>
  </commentList>
</comments>
</file>

<file path=xl/sharedStrings.xml><?xml version="1.0" encoding="utf-8"?>
<sst xmlns="http://schemas.openxmlformats.org/spreadsheetml/2006/main" count="434" uniqueCount="255">
  <si>
    <t>Energy Eff.</t>
  </si>
  <si>
    <t>Pressure</t>
  </si>
  <si>
    <t>Rating</t>
  </si>
  <si>
    <t>velocity check</t>
  </si>
  <si>
    <t>Tunnel Fan Model</t>
  </si>
  <si>
    <t>Energy Efficiency</t>
  </si>
  <si>
    <t>Model #</t>
  </si>
  <si>
    <t>Design static</t>
  </si>
  <si>
    <t>Tunnel Fan</t>
  </si>
  <si>
    <t>Number of fans</t>
  </si>
  <si>
    <t xml:space="preserve">Total air moving capacity </t>
  </si>
  <si>
    <t>Total fan operating</t>
  </si>
  <si>
    <t>pressure</t>
  </si>
  <si>
    <t>capacity</t>
  </si>
  <si>
    <t>required *</t>
  </si>
  <si>
    <t>at design static pressure</t>
  </si>
  <si>
    <t>(all fans operating)</t>
  </si>
  <si>
    <t>Total Pad Area</t>
  </si>
  <si>
    <t>Pad water usage</t>
  </si>
  <si>
    <t>Five Year</t>
  </si>
  <si>
    <t>Ten Year</t>
  </si>
  <si>
    <t>Estimated Yearly Operating Hours per fan =</t>
  </si>
  <si>
    <t>o</t>
  </si>
  <si>
    <t>Minimum Design Air Velocity (m/s) =</t>
  </si>
  <si>
    <t>House Length (m) =</t>
  </si>
  <si>
    <t>House Width (m) =</t>
  </si>
  <si>
    <t>Side Wall Height (m) =</t>
  </si>
  <si>
    <t>Ceiling Peak Height (m) =</t>
  </si>
  <si>
    <t>Open/Dropped Ceiling (o/d) (m) =</t>
  </si>
  <si>
    <t>(minimum for
150mm thick pad)</t>
  </si>
  <si>
    <t>(32.2°C - 50% Rh)</t>
  </si>
  <si>
    <t>(37.8°C - 20 % Rh)</t>
  </si>
  <si>
    <t xml:space="preserve">Airflow for Evap </t>
  </si>
  <si>
    <t>cooling Calcs</t>
  </si>
  <si>
    <t>Munters Euroemme EM50 - 1.5hp</t>
  </si>
  <si>
    <t>EVAPORATIVE COOLING PAD REQUIREMENTS</t>
  </si>
  <si>
    <t>TOTAL FAN RUNNING COSTS PER SHED</t>
  </si>
  <si>
    <t>Purchase cost</t>
  </si>
  <si>
    <t>Electricity</t>
  </si>
  <si>
    <t>Total</t>
  </si>
  <si>
    <t>m³/hr for velocity</t>
  </si>
  <si>
    <t>Data Source</t>
  </si>
  <si>
    <t>Electricity Rate ($ per kW·h) =</t>
  </si>
  <si>
    <t>Munters Euroemme EM50 - 1hp</t>
  </si>
  <si>
    <t>($, excl. GST)</t>
  </si>
  <si>
    <t>BESS test 02466</t>
  </si>
  <si>
    <t>BESS test 08257a</t>
  </si>
  <si>
    <t>BESS test 09248</t>
  </si>
  <si>
    <t>BESS test 09257</t>
  </si>
  <si>
    <t>BESS test 99160</t>
  </si>
  <si>
    <t>Multifan MF130 0.75kW (50.5", 1.0hp, 3 blade)</t>
  </si>
  <si>
    <t>Multifan MF130 1.12 kW (50.5", 1.5 hp, 3 blade)</t>
  </si>
  <si>
    <t>BESS test 05334</t>
  </si>
  <si>
    <t>BESS test 07090</t>
  </si>
  <si>
    <t>BESS test 12123</t>
  </si>
  <si>
    <t xml:space="preserve">BESS test 12126 </t>
  </si>
  <si>
    <t>BESS test 12136</t>
  </si>
  <si>
    <t>BESS test 12138</t>
  </si>
  <si>
    <t>American Coolair MNBFA54N (60Hz) 2hp</t>
  </si>
  <si>
    <t>American Coolair MNBFA54M (60Hz) 1.5hp)</t>
  </si>
  <si>
    <t>American Coolair MNBFA54L (60Hz) 1hp</t>
  </si>
  <si>
    <t>American Coolair MNCFE52L (60Hz) 1hp</t>
  </si>
  <si>
    <t>American Coolair MNBF60M (60Hz) 1.5 hp</t>
  </si>
  <si>
    <t>Hired Hand 6603-7403 52" (60Hz) CONE 1hp</t>
  </si>
  <si>
    <t>Hired Hand 6603-6527 52.5" - Butterfly damper (60Hz) CONE 1hp</t>
  </si>
  <si>
    <t>Hired Hand 6603-3000 52.5" - CONE 1.5hp</t>
  </si>
  <si>
    <t>Hired Hand 6603-8010 54" - CONE 1.5hp</t>
  </si>
  <si>
    <t>Munters Euroemme  EC-50 (60Hz, 1 phase) CONE 1hp</t>
  </si>
  <si>
    <t>Munters Euroemme  EC-50 CONE 1.5hp</t>
  </si>
  <si>
    <t>American Coolair MNBFC60M (60Hz) CONE 1.5 hp</t>
  </si>
  <si>
    <t>American Coolair MNCFC52L (60Hz) CONE 1hp</t>
  </si>
  <si>
    <t>Multifan MF130 0.75 kW (50.5", 1.0 hp, 3 blade) CONE</t>
  </si>
  <si>
    <t>Multifan MF130 1.12 kW (50.5", 1.5 hp, 3 blade) CONE</t>
  </si>
  <si>
    <t>American Coolair MNBCCE54L (60 Hz) CONE 1hp</t>
  </si>
  <si>
    <t>Air Flow (m³/hour)</t>
  </si>
  <si>
    <t>Est. Wind-chill @ 29.4°C</t>
  </si>
  <si>
    <t>Change number</t>
  </si>
  <si>
    <t xml:space="preserve"> of fans? (no=0)</t>
  </si>
  <si>
    <t>Air velocity</t>
  </si>
  <si>
    <t>Power Consumption</t>
  </si>
  <si>
    <t>All fans @ 25 Pa</t>
  </si>
  <si>
    <t>cost (yearly)</t>
  </si>
  <si>
    <t>Flow rate</t>
  </si>
  <si>
    <t>Speed</t>
  </si>
  <si>
    <t>Distance</t>
  </si>
  <si>
    <t>Temperature</t>
  </si>
  <si>
    <t>CFM</t>
  </si>
  <si>
    <t>m³/h</t>
  </si>
  <si>
    <t>m³/s</t>
  </si>
  <si>
    <t>feet/min</t>
  </si>
  <si>
    <t>m/s</t>
  </si>
  <si>
    <t>ft</t>
  </si>
  <si>
    <t>m</t>
  </si>
  <si>
    <t>CFM per watt</t>
  </si>
  <si>
    <t>m³/h per watt</t>
  </si>
  <si>
    <r>
      <t>inch H</t>
    </r>
    <r>
      <rPr>
        <b/>
        <vertAlign val="subscript"/>
        <sz val="10"/>
        <rFont val="Arial"/>
        <family val="2"/>
      </rPr>
      <t>2</t>
    </r>
    <r>
      <rPr>
        <b/>
        <sz val="10"/>
        <rFont val="Arial"/>
        <family val="2"/>
      </rPr>
      <t>O</t>
    </r>
  </si>
  <si>
    <t>Pa</t>
  </si>
  <si>
    <t>°F</t>
  </si>
  <si>
    <t>°C</t>
  </si>
  <si>
    <t>Watts per CFM</t>
  </si>
  <si>
    <t>Watts per m³/h</t>
  </si>
  <si>
    <t>Flow Rate</t>
  </si>
  <si>
    <t>10 Year Running Cost</t>
  </si>
  <si>
    <t/>
  </si>
  <si>
    <t xml:space="preserve">Power Consumption </t>
  </si>
  <si>
    <t xml:space="preserve">Yearly Fan </t>
  </si>
  <si>
    <t>Operating Cost</t>
  </si>
  <si>
    <t xml:space="preserve">Total Fan </t>
  </si>
  <si>
    <t>Purchase Cost</t>
  </si>
  <si>
    <t xml:space="preserve"> 'Peak Demand' Charge Rate ($/kW)</t>
  </si>
  <si>
    <t>12.5 Pa</t>
  </si>
  <si>
    <t>Minimum recommended fan capacity m³/hr (air exchange) =</t>
  </si>
  <si>
    <t>m³/h per watt @ 
25 Pa</t>
  </si>
  <si>
    <t>Notes</t>
  </si>
  <si>
    <t xml:space="preserve">Enter values in the </t>
  </si>
  <si>
    <t>boxes</t>
  </si>
  <si>
    <t>Instructions</t>
  </si>
  <si>
    <t>Peak Power</t>
  </si>
  <si>
    <t>Yearly Costs</t>
  </si>
  <si>
    <t>10 Year Costs</t>
  </si>
  <si>
    <t>Recommended</t>
  </si>
  <si>
    <t>kW</t>
  </si>
  <si>
    <t>of Fans</t>
  </si>
  <si>
    <t xml:space="preserve"> number of fans</t>
  </si>
  <si>
    <t>SOURCE DATA FOR CALCULATIONS</t>
  </si>
  <si>
    <t>American Coolair MNBFA48L (60Hz) 1hp with CONE</t>
  </si>
  <si>
    <t>Acknowledgments</t>
  </si>
  <si>
    <t xml:space="preserve">Refer to the INSTRUCTIONS sheet on how to use this spreadsheet. </t>
  </si>
  <si>
    <t>sections (don't enter "$" or  "," ). Imperial to metric conversions on the following worksheets</t>
  </si>
  <si>
    <t xml:space="preserve">Enter values in </t>
  </si>
  <si>
    <t>Chore-Time 52157-51 (54", 1.5hp, 3 blade) CONE</t>
  </si>
  <si>
    <t>BESS test 09084</t>
  </si>
  <si>
    <t>Outputs per shed— for Recommended number of fans</t>
  </si>
  <si>
    <t>Outputs per Shed—for custom number of fans</t>
  </si>
  <si>
    <t xml:space="preserve">Possible </t>
  </si>
  <si>
    <t>Savings</t>
  </si>
  <si>
    <t>(10 year)</t>
  </si>
  <si>
    <t>50 Pa</t>
  </si>
  <si>
    <t>37.5 Pa</t>
  </si>
  <si>
    <t>25 Pa</t>
  </si>
  <si>
    <t>BESS test 11353</t>
  </si>
  <si>
    <t>Munters WF541V3CD-50 – Butterfly damper, 54" (1hp, CONE)</t>
  </si>
  <si>
    <t>Munters WF501V3CD-50 – Butterfly damper, 50" (1hp, CONE)</t>
  </si>
  <si>
    <t>Munters WF5015V3CD-50 – Butterfly damper, 50" (1.5hp, CONE)</t>
  </si>
  <si>
    <t>Best test 11352</t>
  </si>
  <si>
    <t>BESS test 02333</t>
  </si>
  <si>
    <t>BESS test 02332</t>
  </si>
  <si>
    <t>BESS test 02335</t>
  </si>
  <si>
    <t>BESS test 02334</t>
  </si>
  <si>
    <t>BESS test 10240</t>
  </si>
  <si>
    <t>BESS test 11351</t>
  </si>
  <si>
    <t xml:space="preserve">Recommended </t>
  </si>
  <si>
    <t>(based on shed dimensions)</t>
  </si>
  <si>
    <t>SINGLE SPEED FANS</t>
  </si>
  <si>
    <t>Variable Speed Fans</t>
  </si>
  <si>
    <t>Variable Speed Fan Calculation Data</t>
  </si>
  <si>
    <t>12 Pa</t>
  </si>
  <si>
    <t>37 Pa</t>
  </si>
  <si>
    <t>m³/h/w at 25pa</t>
  </si>
  <si>
    <t>Skov Blue Fan 1.2 kW</t>
  </si>
  <si>
    <t>BlueFan 1.2 kw — 465 rpm</t>
  </si>
  <si>
    <t>BlueFan 1.2 kw — 500 rpm</t>
  </si>
  <si>
    <t>BlueFan 1.2 kw — 550 rpm</t>
  </si>
  <si>
    <t>BlueFan 2.3 kw — 464 rpm</t>
  </si>
  <si>
    <t>BlueFan 2.3 kw —500 rpm</t>
  </si>
  <si>
    <t>BlueFan 2.3 kw —550 rpm</t>
  </si>
  <si>
    <t>BlueFan 2.3 kw —650 rpm</t>
  </si>
  <si>
    <t>MagFan — 378 RPM</t>
  </si>
  <si>
    <t>MagFan — 402 RPM</t>
  </si>
  <si>
    <t>MagFan — 426 RPM</t>
  </si>
  <si>
    <t>MagFan — 456 RPM</t>
  </si>
  <si>
    <t>MagFan — 474 RPM</t>
  </si>
  <si>
    <t>MagFan — 492 RPM</t>
  </si>
  <si>
    <t>MagFan — 516 RPM</t>
  </si>
  <si>
    <t>MagFan — 534 RPM</t>
  </si>
  <si>
    <t>MagFan — 558 RPM</t>
  </si>
  <si>
    <t>MagFan — 582 RPM</t>
  </si>
  <si>
    <t>MagFan — 600 RPM</t>
  </si>
  <si>
    <t>MagFan — 612 RPM</t>
  </si>
  <si>
    <t>MagFan — 630 RPM</t>
  </si>
  <si>
    <t>MagFan — 645 RPM</t>
  </si>
  <si>
    <t>MagFan — 670 RPM</t>
  </si>
  <si>
    <t>EBM Pabst— 300 RPM</t>
  </si>
  <si>
    <t>EBM Pabst— 400 RPM</t>
  </si>
  <si>
    <t>EBM Pabst— 500 RPM</t>
  </si>
  <si>
    <t>EBM Pabst— 600 RPM</t>
  </si>
  <si>
    <t>MultiFan— 300 RPM</t>
  </si>
  <si>
    <t>MultiFan— 360 RPM</t>
  </si>
  <si>
    <t>MultiFan— 420 RPM</t>
  </si>
  <si>
    <t>MultiFan— 479 RPM</t>
  </si>
  <si>
    <t>MultiFan— 540 RPM</t>
  </si>
  <si>
    <t>MultiFan— 600 RPM</t>
  </si>
  <si>
    <t>MultiFan— 615 RPM</t>
  </si>
  <si>
    <t>Skov Blue Fan 2.3 kW</t>
  </si>
  <si>
    <t>DACS MagFan 1.2 kW</t>
  </si>
  <si>
    <t>MultiFan Cone Vplus 2 kW</t>
  </si>
  <si>
    <t>Electricity + 
Fan Purchase cost</t>
  </si>
  <si>
    <t>percentage operating (time 1 year)*</t>
  </si>
  <si>
    <t>* percentage operating time was calculated based on 12 months monitoring 5 sheds around australia</t>
  </si>
  <si>
    <t>Exhaust Fan Cost Calculator inc. Variable Speed Fans</t>
  </si>
  <si>
    <t>NOTE— Grey shaded cells are calculated values</t>
  </si>
  <si>
    <t>STEP 2 — SELECT A VARIABLE SPEED 
FAN MODEL FROM THE LIST</t>
  </si>
  <si>
    <t>Air check calculations</t>
  </si>
  <si>
    <t>Purchase Cost*</t>
  </si>
  <si>
    <t>Price of Fan*</t>
  </si>
  <si>
    <t>* NOTE: Price estimates for purchase costs are for single fans only. Prices indicated should be used as a guide only.</t>
  </si>
  <si>
    <t>STEP 3 — SELECT A SINGLE SPEED FAN MODEL FOR COMPARISON</t>
  </si>
  <si>
    <t>EBM-Pabst AgriCool 1.3 kW</t>
  </si>
  <si>
    <t>change no.</t>
  </si>
  <si>
    <t>Changing fan numbers</t>
  </si>
  <si>
    <t>STEP 1— ENTER POULTRY HOUSE 
INFORMATION</t>
  </si>
  <si>
    <t>(RPM ignored)</t>
  </si>
  <si>
    <t>American Coolair brochure (ANSI/AMCA Standard  210-07)</t>
  </si>
  <si>
    <t>American Coolair brochure (ANSI/AMCA Standard  210-99)</t>
  </si>
  <si>
    <t>EBM-Pabst in house test data</t>
  </si>
  <si>
    <t>BESS test- 16808,16807,16809</t>
  </si>
  <si>
    <t>BESS test 16851</t>
  </si>
  <si>
    <t>BESS test 14438,14440,14439</t>
  </si>
  <si>
    <t>BESS test 16815,16816,16817</t>
  </si>
  <si>
    <t xml:space="preserve">Note: fan prices listed below were obtained prior to June 2018. 
</t>
  </si>
  <si>
    <t>Enter shed dimensions and electricity costs</t>
  </si>
  <si>
    <t>Enter height, width, length of your shed</t>
  </si>
  <si>
    <t>Select a variable speed fan from the list</t>
  </si>
  <si>
    <t>Up to 5 different variable speed fan models can be selected from the list</t>
  </si>
  <si>
    <t>Select variable speed fans to compare</t>
  </si>
  <si>
    <t>Select a single speed fan for comparison (optional)</t>
  </si>
  <si>
    <t>The spreadsheet also contains data for a number of single speed fans</t>
  </si>
  <si>
    <t>Blue shaded</t>
  </si>
  <si>
    <t>BLUE</t>
  </si>
  <si>
    <t>To convert metric units into Imperial/English, type the metric value into the blue cell and press ENTER. Read the Imperial/English value from the cell with green text</t>
  </si>
  <si>
    <t>To convert Imperial/English units into metric, type the Imperial/English value into the blue cell and press ENTER. Read the metric value from the cell with green text</t>
  </si>
  <si>
    <t>m³/h/w at 37.5pa</t>
  </si>
  <si>
    <t>m³/h/w at 50pa</t>
  </si>
  <si>
    <r>
      <t xml:space="preserve">NOTE: CHANGING THESE VALUES WILL RESULT IN </t>
    </r>
    <r>
      <rPr>
        <b/>
        <sz val="36"/>
        <color rgb="FFFF0000"/>
        <rFont val="Arial"/>
        <family val="2"/>
      </rPr>
      <t>ERRORS</t>
    </r>
    <r>
      <rPr>
        <b/>
        <sz val="36"/>
        <color theme="0"/>
        <rFont val="Arial"/>
        <family val="2"/>
      </rPr>
      <t xml:space="preserve"> IN OUTPUT</t>
    </r>
  </si>
  <si>
    <t>DACS MagFan 2.2 kW</t>
  </si>
  <si>
    <t>This spreadsheet is designed to compare the performance and costs associated variable speed fans and single speed fans.</t>
  </si>
  <si>
    <t>It is intended to show how selecting more efficient fans can reduce energy costs over 10 years.</t>
  </si>
  <si>
    <t>Followed by electricty rates—i.e. network charges for power (in $0.00/kW.h) and peak power demand* if applicable</t>
  </si>
  <si>
    <t>The spreadsheet will then automatically calculate approximate running costs and other associated data over a year and 10 years</t>
  </si>
  <si>
    <t>The spreadsheet will recommend the minimum number of fans based on your shed dimensions—this value can be changed**</t>
  </si>
  <si>
    <t>These can be selected from the third section and can be compared to one another or to the variable speed fans above</t>
  </si>
  <si>
    <t>* Peak power demand is the network charge associated with the maximum amount of energy being drawn at any one time (usually billed as $/kW).</t>
  </si>
  <si>
    <t>This spreadsheet only estimates the peak load drawn by the fans. It does not include other power consuming equipment that will effect peak load.</t>
  </si>
  <si>
    <t xml:space="preserve">** The spreadsheet will recommend the minimum number of fans, based on shed dimensions, to achieve 3.5m/s air velocity. Adding more than the recomended number of </t>
  </si>
  <si>
    <t>variable speed fans will likely result in further power savings. These savings may not be accurately reflected by the calculations in the spreadsheet.</t>
  </si>
  <si>
    <t>Metric and Imperial conversion calculators are included in the third and fourth worksheets.</t>
  </si>
  <si>
    <t>This spreadsheet was adapted from 'Tunnel-ventilated broiler house fan comparison spreadsheet 2011', developed by The University of Georgia Department of</t>
  </si>
  <si>
    <t xml:space="preserve">The spreadsheet also builds upon the previous spreadsheet 'Reducing costs and energy by replacing inefficient ventilation fans' also available for free at </t>
  </si>
  <si>
    <t>www.agrifutures.com.au/publications/reducing-costs-and-energy-by-replacing-inefficient-ventilation-fans</t>
  </si>
  <si>
    <t xml:space="preserve">Science, Michael Czarick. The latest version of this spreadsheet can be downloaded for free at www.poultryventilation.com/node/3915 </t>
  </si>
  <si>
    <t>For more information about this spreadsheet contact Mark Dunlop, Department of Agriculture and Fisheries by emailing mark.dunlop@qld.gov.au</t>
  </si>
  <si>
    <t>or calling (07) 4529 4280.</t>
  </si>
  <si>
    <t>https://www.agrifutures.com.au/product/variable-speed-exhaust-fans-for-meat-chicken-sheds/</t>
  </si>
  <si>
    <t>This spreadsheet was developed for AgriFutures Australia Chicken Meat Program project PRJ-010598, 'Variable-Speed exhaust fans for meat chicken sheds'. Final report available at</t>
  </si>
  <si>
    <t>Note: The fan data provided is prior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</si>
</sst>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quot;$&quot;#,##0.00"/>
    <numFmt numFmtId="165" formatCode="0.0"/>
    <numFmt numFmtId="166" formatCode="&quot;$&quot;#,##0"/>
    <numFmt numFmtId="167" formatCode="#,##0.0"/>
    <numFmt numFmtId="168" formatCode="#\ &quot;ft^2&quot;"/>
    <numFmt numFmtId="169" formatCode="&quot;$&quot;#,##0;[Red]&quot;$&quot;#,##0"/>
    <numFmt numFmtId="170" formatCode="[$$-409]#,##0_);[Red]\([$$-409]#,##0\)"/>
    <numFmt numFmtId="171" formatCode="#,##0\ &quot;m³/h&quot;"/>
    <numFmt numFmtId="172" formatCode="#,###\ &quot;m²&quot;"/>
    <numFmt numFmtId="173" formatCode="#.#\ &quot;L/hour&quot;"/>
    <numFmt numFmtId="174" formatCode="&quot;Fan&quot;\ #"/>
    <numFmt numFmtId="175" formatCode="#.00\ &quot;m/s&quot;"/>
    <numFmt numFmtId="176" formatCode="&quot;$&quot;#,##0.0;[Red]&quot;$&quot;#,##0.0"/>
    <numFmt numFmtId="177" formatCode="#,##0.0\ &quot;kW&quot;"/>
    <numFmt numFmtId="178" formatCode="#,###\ \ &quot;m³/h&quot;"/>
    <numFmt numFmtId="179" formatCode="0.000"/>
    <numFmt numFmtId="180" formatCode="0.0\ \k\W"/>
    <numFmt numFmtId="181" formatCode=";;"/>
  </numFmts>
  <fonts count="64" x14ac:knownFonts="1">
    <font>
      <sz val="10"/>
      <name val="Arial"/>
    </font>
    <font>
      <b/>
      <sz val="12"/>
      <name val="Arial"/>
      <family val="2"/>
    </font>
    <font>
      <u/>
      <sz val="6"/>
      <color indexed="12"/>
      <name val="Arial"/>
      <family val="2"/>
    </font>
    <font>
      <sz val="10"/>
      <name val="Arial"/>
      <family val="2"/>
    </font>
    <font>
      <sz val="8"/>
      <name val="Arial"/>
      <family val="2"/>
    </font>
    <font>
      <sz val="18"/>
      <color indexed="81"/>
      <name val="Tahoma"/>
      <family val="2"/>
    </font>
    <font>
      <i/>
      <sz val="18"/>
      <color indexed="81"/>
      <name val="Tahoma"/>
      <family val="2"/>
    </font>
    <font>
      <b/>
      <sz val="8"/>
      <color indexed="81"/>
      <name val="Tahoma"/>
      <family val="2"/>
    </font>
    <font>
      <b/>
      <sz val="18"/>
      <color indexed="81"/>
      <name val="Tahoma"/>
      <family val="2"/>
    </font>
    <font>
      <b/>
      <sz val="12"/>
      <color indexed="17"/>
      <name val="Arial"/>
      <family val="2"/>
    </font>
    <font>
      <b/>
      <sz val="10"/>
      <name val="Arial"/>
      <family val="2"/>
    </font>
    <font>
      <b/>
      <sz val="14"/>
      <name val="Arial"/>
      <family val="2"/>
    </font>
    <font>
      <b/>
      <vertAlign val="subscript"/>
      <sz val="10"/>
      <name val="Arial"/>
      <family val="2"/>
    </font>
    <font>
      <sz val="10"/>
      <color indexed="12"/>
      <name val="Arial"/>
      <family val="2"/>
    </font>
    <font>
      <b/>
      <i/>
      <sz val="12"/>
      <name val="Arial"/>
      <family val="2"/>
    </font>
    <font>
      <sz val="12"/>
      <name val="Arial"/>
      <family val="2"/>
    </font>
    <font>
      <b/>
      <i/>
      <sz val="12"/>
      <color indexed="17"/>
      <name val="Arial"/>
      <family val="2"/>
    </font>
    <font>
      <b/>
      <i/>
      <sz val="12"/>
      <color indexed="10"/>
      <name val="Arial"/>
      <family val="2"/>
    </font>
    <font>
      <sz val="12"/>
      <color indexed="17"/>
      <name val="Arial"/>
      <family val="2"/>
    </font>
    <font>
      <b/>
      <sz val="12"/>
      <color indexed="12"/>
      <name val="Arial"/>
      <family val="2"/>
    </font>
    <font>
      <b/>
      <sz val="14"/>
      <color indexed="10"/>
      <name val="Arial"/>
      <family val="2"/>
    </font>
    <font>
      <sz val="8"/>
      <name val="Arial"/>
      <family val="2"/>
    </font>
    <font>
      <sz val="12"/>
      <color indexed="8"/>
      <name val="Arial"/>
      <family val="2"/>
    </font>
    <font>
      <sz val="12"/>
      <name val="Arial"/>
      <family val="2"/>
    </font>
    <font>
      <b/>
      <u/>
      <sz val="12"/>
      <name val="Arial"/>
      <family val="2"/>
    </font>
    <font>
      <b/>
      <i/>
      <sz val="12"/>
      <color indexed="57"/>
      <name val="Arial"/>
      <family val="2"/>
    </font>
    <font>
      <sz val="10"/>
      <color indexed="57"/>
      <name val="Arial"/>
      <family val="2"/>
    </font>
    <font>
      <b/>
      <sz val="12"/>
      <color indexed="8"/>
      <name val="Arial"/>
      <family val="2"/>
    </font>
    <font>
      <b/>
      <sz val="12"/>
      <color indexed="10"/>
      <name val="Arial"/>
      <family val="2"/>
    </font>
    <font>
      <b/>
      <sz val="18"/>
      <color indexed="57"/>
      <name val="Agency FB"/>
      <family val="2"/>
    </font>
    <font>
      <b/>
      <sz val="16"/>
      <name val="Arial"/>
      <family val="2"/>
    </font>
    <font>
      <sz val="10"/>
      <color indexed="9"/>
      <name val="Arial"/>
      <family val="2"/>
    </font>
    <font>
      <u/>
      <sz val="8.5"/>
      <color indexed="12"/>
      <name val="Arial"/>
      <family val="2"/>
    </font>
    <font>
      <u/>
      <sz val="12"/>
      <color indexed="12"/>
      <name val="Arial"/>
      <family val="2"/>
    </font>
    <font>
      <b/>
      <sz val="12"/>
      <color indexed="9"/>
      <name val="Arial"/>
      <family val="2"/>
    </font>
    <font>
      <b/>
      <sz val="10"/>
      <color indexed="9"/>
      <name val="Arial"/>
      <family val="2"/>
    </font>
    <font>
      <b/>
      <sz val="14"/>
      <color indexed="17"/>
      <name val="Arial"/>
      <family val="2"/>
    </font>
    <font>
      <b/>
      <sz val="14"/>
      <color rgb="FFFF0000"/>
      <name val="Arial"/>
      <family val="2"/>
    </font>
    <font>
      <sz val="10"/>
      <name val="Arial"/>
      <family val="2"/>
    </font>
    <font>
      <b/>
      <sz val="22"/>
      <color indexed="9"/>
      <name val="Arial"/>
      <family val="2"/>
    </font>
    <font>
      <b/>
      <sz val="18"/>
      <name val="Arial"/>
      <family val="2"/>
    </font>
    <font>
      <b/>
      <sz val="16"/>
      <color theme="6" tint="-0.249977111117893"/>
      <name val="Arial"/>
      <family val="2"/>
    </font>
    <font>
      <b/>
      <sz val="14"/>
      <color theme="1"/>
      <name val="Arial"/>
      <family val="2"/>
    </font>
    <font>
      <b/>
      <u/>
      <sz val="13"/>
      <color rgb="FFFF0000"/>
      <name val="Arial"/>
      <family val="2"/>
    </font>
    <font>
      <b/>
      <sz val="38"/>
      <color indexed="9"/>
      <name val="Arial"/>
      <family val="2"/>
    </font>
    <font>
      <b/>
      <sz val="18"/>
      <color rgb="FF399752"/>
      <name val="Arial"/>
      <family val="2"/>
    </font>
    <font>
      <b/>
      <sz val="18"/>
      <color theme="0"/>
      <name val="Arial"/>
      <family val="2"/>
    </font>
    <font>
      <b/>
      <sz val="12"/>
      <color rgb="FF2F5FF9"/>
      <name val="Arial"/>
      <family val="2"/>
    </font>
    <font>
      <b/>
      <sz val="12"/>
      <color rgb="FF2361AD"/>
      <name val="Arial"/>
      <family val="2"/>
    </font>
    <font>
      <i/>
      <sz val="12"/>
      <color rgb="FF2361AD"/>
      <name val="Arial"/>
      <family val="2"/>
    </font>
    <font>
      <sz val="12"/>
      <color rgb="FF2361AD"/>
      <name val="Arial"/>
      <family val="2"/>
    </font>
    <font>
      <b/>
      <sz val="18"/>
      <color rgb="FF2361AD"/>
      <name val="Arial"/>
      <family val="2"/>
    </font>
    <font>
      <b/>
      <sz val="14"/>
      <color rgb="FF2F5FF9"/>
      <name val="Arial"/>
      <family val="2"/>
    </font>
    <font>
      <b/>
      <sz val="16"/>
      <color rgb="FF2F5FF9"/>
      <name val="Arial"/>
      <family val="2"/>
    </font>
    <font>
      <b/>
      <sz val="18"/>
      <color rgb="FF2F5FF9"/>
      <name val="Arial"/>
      <family val="2"/>
    </font>
    <font>
      <sz val="16"/>
      <color rgb="FF2F5FF9"/>
      <name val="Arial"/>
      <family val="2"/>
    </font>
    <font>
      <b/>
      <sz val="36"/>
      <color theme="0"/>
      <name val="Arial"/>
      <family val="2"/>
    </font>
    <font>
      <b/>
      <sz val="10"/>
      <color rgb="FF2F5FF9"/>
      <name val="Arial"/>
      <family val="2"/>
    </font>
    <font>
      <b/>
      <sz val="12"/>
      <color theme="1"/>
      <name val="Arial"/>
      <family val="2"/>
    </font>
    <font>
      <b/>
      <sz val="36"/>
      <color rgb="FFFF0000"/>
      <name val="Arial"/>
      <family val="2"/>
    </font>
    <font>
      <sz val="12"/>
      <color theme="0"/>
      <name val="Arial"/>
      <family val="2"/>
    </font>
    <font>
      <sz val="13"/>
      <color theme="0"/>
      <name val="Arial"/>
      <family val="2"/>
    </font>
    <font>
      <i/>
      <sz val="12"/>
      <name val="Arial"/>
      <family val="2"/>
    </font>
    <font>
      <b/>
      <sz val="3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2361AD"/>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s>
  <cellStyleXfs count="5">
    <xf numFmtId="0" fontId="0" fillId="0" borderId="0"/>
    <xf numFmtId="0" fontId="3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9" fontId="38" fillId="0" borderId="0" applyFont="0" applyFill="0" applyBorder="0" applyAlignment="0" applyProtection="0"/>
  </cellStyleXfs>
  <cellXfs count="641">
    <xf numFmtId="0" fontId="0" fillId="0" borderId="0" xfId="0"/>
    <xf numFmtId="0" fontId="1" fillId="0" borderId="0" xfId="0" applyNumberFormat="1" applyFont="1" applyProtection="1"/>
    <xf numFmtId="0" fontId="1" fillId="0" borderId="0" xfId="0" applyFont="1" applyFill="1" applyBorder="1" applyProtection="1"/>
    <xf numFmtId="0" fontId="1" fillId="0" borderId="0" xfId="0" applyFont="1" applyProtection="1"/>
    <xf numFmtId="0" fontId="1" fillId="0" borderId="0" xfId="0" applyFont="1" applyBorder="1" applyProtection="1"/>
    <xf numFmtId="0" fontId="3" fillId="0" borderId="0" xfId="3"/>
    <xf numFmtId="0" fontId="10" fillId="0" borderId="0" xfId="3" applyFont="1"/>
    <xf numFmtId="0" fontId="3" fillId="0" borderId="0" xfId="3" applyAlignment="1">
      <alignment horizontal="center" vertical="center"/>
    </xf>
    <xf numFmtId="0" fontId="10" fillId="0" borderId="0" xfId="3" applyFont="1" applyBorder="1" applyAlignment="1">
      <alignment horizontal="center" vertical="center" wrapText="1"/>
    </xf>
    <xf numFmtId="0" fontId="10" fillId="0" borderId="0" xfId="3" applyFont="1" applyAlignment="1">
      <alignment horizontal="center" vertical="center"/>
    </xf>
    <xf numFmtId="0" fontId="13" fillId="0" borderId="0" xfId="3" applyFont="1" applyAlignment="1">
      <alignment horizontal="center"/>
    </xf>
    <xf numFmtId="0" fontId="3" fillId="0" borderId="0" xfId="3" applyAlignment="1">
      <alignment horizontal="center"/>
    </xf>
    <xf numFmtId="0" fontId="3" fillId="0" borderId="1" xfId="3" applyBorder="1" applyAlignment="1">
      <alignment horizontal="center"/>
    </xf>
    <xf numFmtId="3" fontId="3" fillId="0" borderId="0" xfId="3" applyNumberFormat="1" applyBorder="1" applyAlignment="1">
      <alignment horizontal="center"/>
    </xf>
    <xf numFmtId="2" fontId="3" fillId="0" borderId="2" xfId="3" applyNumberFormat="1" applyFont="1" applyFill="1" applyBorder="1" applyAlignment="1">
      <alignment horizontal="center"/>
    </xf>
    <xf numFmtId="2" fontId="3" fillId="0" borderId="2" xfId="3" applyNumberFormat="1" applyBorder="1" applyAlignment="1">
      <alignment horizontal="center"/>
    </xf>
    <xf numFmtId="165" fontId="3" fillId="0" borderId="2" xfId="3" applyNumberFormat="1" applyBorder="1"/>
    <xf numFmtId="1" fontId="3" fillId="0" borderId="1" xfId="3" applyNumberFormat="1" applyBorder="1" applyAlignment="1">
      <alignment horizontal="center"/>
    </xf>
    <xf numFmtId="165" fontId="3" fillId="0" borderId="2" xfId="3" applyNumberFormat="1" applyBorder="1" applyAlignment="1">
      <alignment horizontal="center"/>
    </xf>
    <xf numFmtId="2" fontId="3" fillId="0" borderId="1" xfId="3" applyNumberFormat="1" applyBorder="1"/>
    <xf numFmtId="1" fontId="3" fillId="0" borderId="2" xfId="3" applyNumberFormat="1" applyFont="1" applyBorder="1" applyAlignment="1">
      <alignment horizontal="center"/>
    </xf>
    <xf numFmtId="0" fontId="10" fillId="0" borderId="0" xfId="3" applyFont="1" applyAlignment="1">
      <alignment horizontal="center" vertical="top" wrapText="1"/>
    </xf>
    <xf numFmtId="0" fontId="3" fillId="0" borderId="3" xfId="3" applyBorder="1" applyAlignment="1">
      <alignment horizontal="center"/>
    </xf>
    <xf numFmtId="2" fontId="3" fillId="0" borderId="4" xfId="3" applyNumberFormat="1" applyBorder="1" applyAlignment="1">
      <alignment horizontal="center"/>
    </xf>
    <xf numFmtId="1" fontId="3" fillId="0" borderId="3" xfId="3" applyNumberFormat="1" applyBorder="1" applyAlignment="1">
      <alignment horizontal="center"/>
    </xf>
    <xf numFmtId="165" fontId="3" fillId="0" borderId="4" xfId="3" applyNumberFormat="1" applyBorder="1" applyAlignment="1">
      <alignment horizontal="center"/>
    </xf>
    <xf numFmtId="1" fontId="3" fillId="0" borderId="0" xfId="3" applyNumberFormat="1" applyAlignment="1">
      <alignment horizontal="center"/>
    </xf>
    <xf numFmtId="165" fontId="3" fillId="0" borderId="0" xfId="3" applyNumberFormat="1" applyAlignment="1">
      <alignment horizontal="center"/>
    </xf>
    <xf numFmtId="165" fontId="3" fillId="0" borderId="4" xfId="3" applyNumberFormat="1" applyBorder="1"/>
    <xf numFmtId="179" fontId="3" fillId="0" borderId="1" xfId="3" applyNumberFormat="1" applyBorder="1" applyAlignment="1">
      <alignment horizontal="center"/>
    </xf>
    <xf numFmtId="179" fontId="3" fillId="0" borderId="2" xfId="3" applyNumberFormat="1" applyBorder="1" applyAlignment="1">
      <alignment horizontal="center"/>
    </xf>
    <xf numFmtId="2" fontId="3" fillId="0" borderId="3" xfId="3" applyNumberFormat="1" applyBorder="1"/>
    <xf numFmtId="1" fontId="3" fillId="0" borderId="4" xfId="3" applyNumberFormat="1" applyFont="1" applyBorder="1" applyAlignment="1">
      <alignment horizontal="center"/>
    </xf>
    <xf numFmtId="3" fontId="3" fillId="0" borderId="5" xfId="3" applyNumberFormat="1" applyBorder="1" applyAlignment="1">
      <alignment horizontal="center"/>
    </xf>
    <xf numFmtId="2" fontId="3" fillId="0" borderId="4" xfId="3" applyNumberFormat="1" applyFont="1" applyFill="1" applyBorder="1" applyAlignment="1">
      <alignment horizontal="center"/>
    </xf>
    <xf numFmtId="179" fontId="3" fillId="0" borderId="3" xfId="3" applyNumberFormat="1" applyBorder="1" applyAlignment="1">
      <alignment horizontal="center"/>
    </xf>
    <xf numFmtId="179" fontId="3" fillId="0" borderId="4" xfId="3" applyNumberFormat="1" applyBorder="1" applyAlignment="1">
      <alignment horizontal="center"/>
    </xf>
    <xf numFmtId="0" fontId="3" fillId="0" borderId="0" xfId="3" applyBorder="1"/>
    <xf numFmtId="165" fontId="3" fillId="0" borderId="0" xfId="3" applyNumberFormat="1" applyBorder="1"/>
    <xf numFmtId="0" fontId="11" fillId="0" borderId="0" xfId="3" applyFont="1" applyAlignment="1">
      <alignment horizontal="center" vertical="center"/>
    </xf>
    <xf numFmtId="0" fontId="10" fillId="0" borderId="0" xfId="3" applyFont="1" applyAlignment="1">
      <alignment horizontal="center" vertical="center" wrapText="1"/>
    </xf>
    <xf numFmtId="0" fontId="3" fillId="0" borderId="0" xfId="3" applyAlignment="1">
      <alignment horizontal="center" vertical="center" wrapText="1"/>
    </xf>
    <xf numFmtId="0" fontId="13" fillId="0" borderId="0" xfId="3" applyFont="1" applyAlignment="1">
      <alignment horizontal="center" vertical="center" wrapText="1"/>
    </xf>
    <xf numFmtId="179" fontId="13" fillId="0" borderId="0" xfId="3" applyNumberFormat="1" applyFont="1" applyAlignment="1">
      <alignment horizontal="center" vertical="center" wrapText="1"/>
    </xf>
    <xf numFmtId="0" fontId="3" fillId="0" borderId="1" xfId="3" applyBorder="1" applyAlignment="1">
      <alignment horizontal="center" vertical="center"/>
    </xf>
    <xf numFmtId="3" fontId="3" fillId="0" borderId="2" xfId="3" applyNumberFormat="1" applyBorder="1" applyAlignment="1">
      <alignment horizontal="center" vertical="center"/>
    </xf>
    <xf numFmtId="1" fontId="3" fillId="0" borderId="2" xfId="3" applyNumberFormat="1" applyBorder="1" applyAlignment="1">
      <alignment horizontal="center" vertical="center"/>
    </xf>
    <xf numFmtId="165" fontId="3" fillId="0" borderId="2" xfId="3" applyNumberFormat="1" applyBorder="1" applyAlignment="1">
      <alignment horizontal="center" vertical="center"/>
    </xf>
    <xf numFmtId="179" fontId="3" fillId="0" borderId="1" xfId="3" applyNumberFormat="1" applyBorder="1" applyAlignment="1">
      <alignment horizontal="center" vertical="center"/>
    </xf>
    <xf numFmtId="179" fontId="3" fillId="0" borderId="0" xfId="3" applyNumberFormat="1" applyFont="1" applyAlignment="1">
      <alignment horizontal="center" vertical="center" wrapText="1"/>
    </xf>
    <xf numFmtId="2" fontId="3" fillId="0" borderId="2" xfId="3" applyNumberFormat="1" applyFont="1" applyBorder="1" applyAlignment="1">
      <alignment horizontal="center" vertical="center" wrapText="1"/>
    </xf>
    <xf numFmtId="0" fontId="3" fillId="0" borderId="3" xfId="3" applyBorder="1" applyAlignment="1">
      <alignment horizontal="center" vertical="center"/>
    </xf>
    <xf numFmtId="1" fontId="3" fillId="0" borderId="4" xfId="3" applyNumberFormat="1" applyBorder="1" applyAlignment="1">
      <alignment horizontal="center" vertical="center"/>
    </xf>
    <xf numFmtId="1" fontId="3" fillId="0" borderId="0" xfId="3" applyNumberFormat="1" applyAlignment="1">
      <alignment horizontal="center" vertical="center"/>
    </xf>
    <xf numFmtId="179" fontId="3" fillId="0" borderId="3" xfId="3" applyNumberFormat="1" applyBorder="1" applyAlignment="1">
      <alignment horizontal="center" vertical="center"/>
    </xf>
    <xf numFmtId="2" fontId="3" fillId="0" borderId="4" xfId="3" applyNumberFormat="1" applyFont="1" applyBorder="1" applyAlignment="1">
      <alignment horizontal="center" vertical="center" wrapText="1"/>
    </xf>
    <xf numFmtId="3" fontId="3" fillId="0" borderId="4" xfId="3" applyNumberFormat="1" applyBorder="1" applyAlignment="1">
      <alignment horizontal="center" vertical="center"/>
    </xf>
    <xf numFmtId="165" fontId="3" fillId="0" borderId="4" xfId="3" applyNumberFormat="1" applyBorder="1" applyAlignment="1">
      <alignment horizontal="center" vertical="center"/>
    </xf>
    <xf numFmtId="0" fontId="3" fillId="0" borderId="0" xfId="3" applyBorder="1" applyAlignment="1">
      <alignment horizontal="center" vertical="center"/>
    </xf>
    <xf numFmtId="0" fontId="15" fillId="0" borderId="0" xfId="0" applyFont="1" applyProtection="1"/>
    <xf numFmtId="0" fontId="15" fillId="0" borderId="6" xfId="0" applyFont="1" applyBorder="1" applyProtection="1"/>
    <xf numFmtId="0" fontId="14" fillId="0" borderId="0" xfId="0" applyFont="1" applyFill="1" applyBorder="1" applyProtection="1"/>
    <xf numFmtId="0" fontId="15" fillId="0" borderId="0" xfId="0" applyFont="1" applyBorder="1" applyProtection="1"/>
    <xf numFmtId="0" fontId="18" fillId="0" borderId="0" xfId="0" applyFont="1" applyFill="1" applyBorder="1" applyProtection="1"/>
    <xf numFmtId="0" fontId="18" fillId="0" borderId="0" xfId="0" applyFont="1" applyFill="1" applyProtection="1"/>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left" wrapText="1"/>
    </xf>
    <xf numFmtId="0" fontId="14" fillId="0" borderId="0" xfId="0" applyFont="1" applyFill="1" applyBorder="1" applyAlignment="1" applyProtection="1">
      <alignment horizontal="center"/>
    </xf>
    <xf numFmtId="174" fontId="9"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165" fontId="9" fillId="0" borderId="0" xfId="0" applyNumberFormat="1" applyFont="1" applyFill="1" applyBorder="1" applyAlignment="1" applyProtection="1">
      <alignment horizontal="center"/>
    </xf>
    <xf numFmtId="166" fontId="9" fillId="0" borderId="0" xfId="0" applyNumberFormat="1" applyFont="1" applyFill="1" applyBorder="1" applyAlignment="1" applyProtection="1">
      <alignment horizontal="center"/>
    </xf>
    <xf numFmtId="0" fontId="9" fillId="0" borderId="0" xfId="0" applyFont="1" applyFill="1" applyBorder="1" applyAlignment="1" applyProtection="1">
      <alignment horizontal="center"/>
    </xf>
    <xf numFmtId="167" fontId="9" fillId="0" borderId="0" xfId="0" applyNumberFormat="1" applyFont="1" applyFill="1" applyBorder="1" applyAlignment="1" applyProtection="1">
      <alignment horizontal="center"/>
    </xf>
    <xf numFmtId="166" fontId="9" fillId="0" borderId="0" xfId="0" applyNumberFormat="1" applyFont="1" applyBorder="1" applyAlignment="1" applyProtection="1">
      <alignment horizontal="center"/>
    </xf>
    <xf numFmtId="0" fontId="1" fillId="0" borderId="0" xfId="0" applyFont="1" applyFill="1" applyBorder="1" applyAlignment="1" applyProtection="1">
      <alignment horizontal="center" vertical="justify"/>
    </xf>
    <xf numFmtId="0" fontId="1" fillId="0" borderId="0" xfId="0" quotePrefix="1" applyFont="1" applyFill="1" applyBorder="1" applyAlignment="1" applyProtection="1">
      <alignment horizontal="center"/>
    </xf>
    <xf numFmtId="0" fontId="1" fillId="0" borderId="0" xfId="0" applyFont="1" applyFill="1" applyBorder="1" applyAlignment="1" applyProtection="1">
      <alignment horizontal="center"/>
    </xf>
    <xf numFmtId="0" fontId="15" fillId="0" borderId="0" xfId="0" applyNumberFormat="1" applyFont="1" applyProtection="1"/>
    <xf numFmtId="0" fontId="15" fillId="0" borderId="0" xfId="0" applyNumberFormat="1" applyFont="1" applyFill="1" applyBorder="1" applyProtection="1"/>
    <xf numFmtId="0" fontId="15" fillId="0" borderId="7" xfId="0" applyFont="1" applyBorder="1" applyProtection="1"/>
    <xf numFmtId="0" fontId="15" fillId="0" borderId="8" xfId="0" applyFont="1" applyBorder="1" applyProtection="1"/>
    <xf numFmtId="0" fontId="15" fillId="0" borderId="0" xfId="0" applyFont="1" applyFill="1" applyBorder="1" applyProtection="1"/>
    <xf numFmtId="0" fontId="15" fillId="0" borderId="5" xfId="0" applyFont="1" applyBorder="1" applyProtection="1"/>
    <xf numFmtId="0" fontId="14" fillId="0" borderId="0" xfId="0" applyFont="1" applyBorder="1" applyProtection="1"/>
    <xf numFmtId="3" fontId="14" fillId="0" borderId="0" xfId="0" applyNumberFormat="1" applyFont="1" applyFill="1" applyBorder="1" applyAlignment="1" applyProtection="1">
      <alignment horizontal="left" indent="2"/>
    </xf>
    <xf numFmtId="0" fontId="15" fillId="0" borderId="10" xfId="0" applyFont="1" applyFill="1" applyBorder="1" applyProtection="1"/>
    <xf numFmtId="166" fontId="1" fillId="0" borderId="0" xfId="0" applyNumberFormat="1" applyFont="1" applyFill="1" applyBorder="1" applyAlignment="1" applyProtection="1">
      <alignment horizontal="center" wrapText="1"/>
    </xf>
    <xf numFmtId="180" fontId="1" fillId="0" borderId="0" xfId="0" applyNumberFormat="1" applyFont="1" applyFill="1" applyBorder="1" applyAlignment="1" applyProtection="1">
      <alignment horizontal="center" wrapText="1"/>
    </xf>
    <xf numFmtId="0" fontId="29" fillId="0" borderId="0" xfId="0" applyFont="1" applyFill="1" applyBorder="1" applyAlignment="1" applyProtection="1">
      <alignment horizontal="center" wrapText="1"/>
    </xf>
    <xf numFmtId="180" fontId="15" fillId="0" borderId="0" xfId="0" applyNumberFormat="1" applyFont="1" applyFill="1" applyBorder="1" applyAlignment="1" applyProtection="1">
      <alignment horizontal="center" wrapText="1"/>
    </xf>
    <xf numFmtId="166" fontId="15" fillId="0" borderId="0" xfId="0" applyNumberFormat="1" applyFont="1" applyFill="1" applyBorder="1" applyAlignment="1" applyProtection="1">
      <alignment horizontal="center" wrapText="1"/>
    </xf>
    <xf numFmtId="0" fontId="0" fillId="0" borderId="0" xfId="0" applyProtection="1"/>
    <xf numFmtId="0" fontId="22" fillId="0" borderId="0" xfId="0" applyFont="1" applyProtection="1"/>
    <xf numFmtId="0" fontId="3" fillId="0" borderId="0" xfId="0" applyFont="1" applyBorder="1" applyAlignment="1" applyProtection="1"/>
    <xf numFmtId="0" fontId="15" fillId="0" borderId="0" xfId="0" applyFont="1" applyProtection="1">
      <protection hidden="1"/>
    </xf>
    <xf numFmtId="0" fontId="15" fillId="0" borderId="0" xfId="0" applyNumberFormat="1" applyFont="1" applyProtection="1">
      <protection hidden="1"/>
    </xf>
    <xf numFmtId="0" fontId="0" fillId="0" borderId="0" xfId="0" applyProtection="1">
      <protection hidden="1"/>
    </xf>
    <xf numFmtId="0" fontId="1" fillId="2" borderId="5" xfId="0" applyFont="1" applyFill="1" applyBorder="1" applyAlignment="1" applyProtection="1">
      <alignment horizontal="center"/>
      <protection hidden="1"/>
    </xf>
    <xf numFmtId="0" fontId="15" fillId="0" borderId="0" xfId="0" applyNumberFormat="1" applyFont="1" applyFill="1" applyBorder="1" applyProtection="1">
      <protection hidden="1"/>
    </xf>
    <xf numFmtId="0" fontId="1" fillId="2" borderId="12"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1" fillId="2" borderId="14" xfId="0" applyFont="1" applyFill="1" applyBorder="1" applyAlignment="1" applyProtection="1">
      <alignment horizontal="center"/>
      <protection hidden="1"/>
    </xf>
    <xf numFmtId="0" fontId="1" fillId="2" borderId="17" xfId="0" applyFont="1" applyFill="1" applyBorder="1" applyAlignment="1" applyProtection="1">
      <alignment horizontal="center" wrapText="1"/>
      <protection hidden="1"/>
    </xf>
    <xf numFmtId="0" fontId="1" fillId="2" borderId="19" xfId="0" applyFont="1" applyFill="1" applyBorder="1" applyAlignment="1" applyProtection="1">
      <alignment horizontal="center"/>
      <protection hidden="1"/>
    </xf>
    <xf numFmtId="0" fontId="14" fillId="0" borderId="0" xfId="0" applyNumberFormat="1" applyFont="1" applyFill="1" applyBorder="1" applyAlignment="1" applyProtection="1">
      <alignment horizontal="center"/>
      <protection hidden="1"/>
    </xf>
    <xf numFmtId="0" fontId="14" fillId="0" borderId="25" xfId="0" applyFont="1" applyFill="1" applyBorder="1" applyAlignment="1" applyProtection="1">
      <alignment horizontal="center"/>
      <protection hidden="1"/>
    </xf>
    <xf numFmtId="166" fontId="14" fillId="0" borderId="25" xfId="0" applyNumberFormat="1" applyFont="1" applyFill="1" applyBorder="1" applyAlignment="1" applyProtection="1">
      <alignment horizontal="center"/>
      <protection hidden="1"/>
    </xf>
    <xf numFmtId="172" fontId="1" fillId="0" borderId="27" xfId="0" applyNumberFormat="1" applyFont="1" applyBorder="1" applyAlignment="1" applyProtection="1">
      <alignment horizontal="center"/>
      <protection hidden="1"/>
    </xf>
    <xf numFmtId="169" fontId="1" fillId="0" borderId="28" xfId="0" applyNumberFormat="1" applyFont="1" applyBorder="1" applyAlignment="1" applyProtection="1">
      <alignment horizontal="center"/>
      <protection hidden="1"/>
    </xf>
    <xf numFmtId="0" fontId="15" fillId="0" borderId="0" xfId="0" applyNumberFormat="1" applyFont="1" applyFill="1" applyBorder="1" applyAlignment="1" applyProtection="1">
      <alignment horizontal="center"/>
      <protection hidden="1"/>
    </xf>
    <xf numFmtId="3" fontId="14" fillId="0" borderId="25" xfId="0" applyNumberFormat="1" applyFont="1" applyBorder="1" applyAlignment="1" applyProtection="1">
      <alignment horizontal="center"/>
      <protection hidden="1"/>
    </xf>
    <xf numFmtId="0" fontId="16" fillId="0" borderId="29" xfId="0" applyFont="1" applyFill="1" applyBorder="1" applyAlignment="1" applyProtection="1">
      <alignment horizontal="center"/>
      <protection hidden="1"/>
    </xf>
    <xf numFmtId="171" fontId="14" fillId="0" borderId="25" xfId="0" applyNumberFormat="1" applyFont="1" applyFill="1" applyBorder="1" applyAlignment="1" applyProtection="1">
      <alignment horizontal="center"/>
      <protection hidden="1"/>
    </xf>
    <xf numFmtId="177" fontId="14" fillId="0" borderId="25" xfId="0" applyNumberFormat="1" applyFont="1" applyFill="1" applyBorder="1" applyAlignment="1" applyProtection="1">
      <alignment horizontal="center"/>
      <protection hidden="1"/>
    </xf>
    <xf numFmtId="175" fontId="17" fillId="3" borderId="25" xfId="0" applyNumberFormat="1" applyFont="1" applyFill="1" applyBorder="1" applyAlignment="1" applyProtection="1">
      <alignment horizontal="center"/>
      <protection hidden="1"/>
    </xf>
    <xf numFmtId="165" fontId="1" fillId="0" borderId="30" xfId="0" applyNumberFormat="1" applyFont="1" applyBorder="1" applyAlignment="1" applyProtection="1">
      <alignment horizontal="center"/>
      <protection hidden="1"/>
    </xf>
    <xf numFmtId="173" fontId="1" fillId="0" borderId="25" xfId="0" applyNumberFormat="1" applyFont="1" applyFill="1" applyBorder="1" applyAlignment="1" applyProtection="1">
      <alignment horizontal="center"/>
      <protection hidden="1"/>
    </xf>
    <xf numFmtId="173" fontId="1" fillId="0" borderId="30" xfId="0" applyNumberFormat="1" applyFont="1" applyBorder="1" applyAlignment="1" applyProtection="1">
      <alignment horizontal="center"/>
      <protection hidden="1"/>
    </xf>
    <xf numFmtId="170" fontId="1" fillId="0" borderId="31" xfId="0" applyNumberFormat="1" applyFont="1" applyBorder="1" applyAlignment="1" applyProtection="1">
      <alignment horizontal="center"/>
      <protection hidden="1"/>
    </xf>
    <xf numFmtId="169" fontId="19" fillId="0" borderId="30" xfId="0" applyNumberFormat="1" applyFont="1" applyBorder="1" applyAlignment="1" applyProtection="1">
      <alignment horizontal="center"/>
      <protection hidden="1"/>
    </xf>
    <xf numFmtId="166" fontId="1" fillId="0" borderId="32" xfId="0" applyNumberFormat="1" applyFont="1" applyBorder="1" applyAlignment="1" applyProtection="1">
      <alignment horizontal="center"/>
      <protection hidden="1"/>
    </xf>
    <xf numFmtId="169" fontId="19" fillId="0" borderId="33" xfId="0" applyNumberFormat="1" applyFont="1" applyFill="1" applyBorder="1" applyAlignment="1" applyProtection="1">
      <alignment horizontal="center"/>
      <protection hidden="1"/>
    </xf>
    <xf numFmtId="164" fontId="27" fillId="0" borderId="32" xfId="0" applyNumberFormat="1" applyFont="1" applyFill="1" applyBorder="1" applyAlignment="1" applyProtection="1">
      <alignment horizontal="center"/>
      <protection hidden="1"/>
    </xf>
    <xf numFmtId="164" fontId="1" fillId="0" borderId="30"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5"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wrapText="1"/>
    </xf>
    <xf numFmtId="176" fontId="1" fillId="0" borderId="0" xfId="0" applyNumberFormat="1" applyFont="1" applyFill="1" applyBorder="1" applyAlignment="1" applyProtection="1">
      <alignment horizontal="center"/>
      <protection hidden="1"/>
    </xf>
    <xf numFmtId="0" fontId="1" fillId="0" borderId="29" xfId="0" applyNumberFormat="1" applyFont="1" applyFill="1" applyBorder="1" applyAlignment="1" applyProtection="1">
      <protection hidden="1"/>
    </xf>
    <xf numFmtId="49" fontId="1" fillId="0" borderId="29" xfId="0" applyNumberFormat="1" applyFont="1" applyFill="1" applyBorder="1" applyAlignment="1" applyProtection="1">
      <protection hidden="1"/>
    </xf>
    <xf numFmtId="0" fontId="0" fillId="0" borderId="37" xfId="0" applyBorder="1" applyAlignment="1" applyProtection="1">
      <protection hidden="1"/>
    </xf>
    <xf numFmtId="167" fontId="14" fillId="0" borderId="31" xfId="0" applyNumberFormat="1" applyFont="1" applyBorder="1" applyAlignment="1" applyProtection="1">
      <alignment horizontal="center"/>
      <protection hidden="1"/>
    </xf>
    <xf numFmtId="0" fontId="0" fillId="0" borderId="40" xfId="0" applyBorder="1" applyAlignment="1" applyProtection="1">
      <protection hidden="1"/>
    </xf>
    <xf numFmtId="3" fontId="14" fillId="0" borderId="31" xfId="0" applyNumberFormat="1" applyFont="1" applyBorder="1" applyAlignment="1" applyProtection="1">
      <alignment horizontal="center"/>
      <protection hidden="1"/>
    </xf>
    <xf numFmtId="0" fontId="1" fillId="0" borderId="25" xfId="0" applyNumberFormat="1" applyFont="1" applyFill="1" applyBorder="1" applyAlignment="1" applyProtection="1">
      <protection hidden="1"/>
    </xf>
    <xf numFmtId="0" fontId="1" fillId="0" borderId="32" xfId="0" applyNumberFormat="1" applyFont="1" applyFill="1" applyBorder="1" applyAlignment="1" applyProtection="1">
      <protection hidden="1"/>
    </xf>
    <xf numFmtId="0" fontId="0" fillId="0" borderId="25" xfId="0" applyBorder="1" applyAlignment="1"/>
    <xf numFmtId="165" fontId="1" fillId="0" borderId="33" xfId="0" applyNumberFormat="1" applyFont="1" applyBorder="1" applyAlignment="1" applyProtection="1">
      <alignment horizontal="center"/>
      <protection hidden="1"/>
    </xf>
    <xf numFmtId="172" fontId="1" fillId="0" borderId="42" xfId="0" applyNumberFormat="1" applyFont="1" applyBorder="1" applyAlignment="1" applyProtection="1">
      <alignment horizontal="center"/>
      <protection hidden="1"/>
    </xf>
    <xf numFmtId="164" fontId="1" fillId="0" borderId="33" xfId="0" applyNumberFormat="1" applyFont="1" applyFill="1" applyBorder="1" applyAlignment="1" applyProtection="1">
      <alignment horizontal="center"/>
      <protection hidden="1"/>
    </xf>
    <xf numFmtId="0" fontId="0" fillId="0" borderId="1" xfId="0" applyBorder="1" applyProtection="1"/>
    <xf numFmtId="0" fontId="0" fillId="0" borderId="0" xfId="0" applyBorder="1" applyProtection="1"/>
    <xf numFmtId="0" fontId="0" fillId="0" borderId="2" xfId="0" applyBorder="1" applyProtection="1"/>
    <xf numFmtId="0" fontId="0" fillId="0" borderId="1" xfId="0" applyFill="1" applyBorder="1" applyProtection="1"/>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30" fillId="0" borderId="1" xfId="0" applyFont="1" applyBorder="1" applyProtection="1"/>
    <xf numFmtId="0" fontId="10" fillId="0" borderId="1" xfId="0" applyFont="1" applyBorder="1" applyProtection="1"/>
    <xf numFmtId="0" fontId="24" fillId="0" borderId="0" xfId="0" applyFont="1" applyBorder="1" applyProtection="1"/>
    <xf numFmtId="0" fontId="0" fillId="0" borderId="0" xfId="0" applyFill="1" applyBorder="1" applyProtection="1"/>
    <xf numFmtId="0" fontId="0" fillId="0" borderId="2" xfId="0" applyFill="1" applyBorder="1" applyProtection="1"/>
    <xf numFmtId="0" fontId="0" fillId="0" borderId="3" xfId="0" applyFill="1" applyBorder="1" applyProtection="1"/>
    <xf numFmtId="0" fontId="0" fillId="0" borderId="5" xfId="0" applyFill="1" applyBorder="1" applyProtection="1"/>
    <xf numFmtId="0" fontId="0" fillId="0" borderId="4" xfId="0" applyFill="1" applyBorder="1" applyProtection="1"/>
    <xf numFmtId="0" fontId="1" fillId="0" borderId="0" xfId="0" applyFont="1" applyFill="1" applyBorder="1" applyAlignment="1" applyProtection="1">
      <alignment horizontal="left" indent="1"/>
    </xf>
    <xf numFmtId="1" fontId="28" fillId="0" borderId="0" xfId="0" applyNumberFormat="1" applyFont="1" applyFill="1" applyBorder="1" applyProtection="1"/>
    <xf numFmtId="0" fontId="33" fillId="0" borderId="0" xfId="1" applyFont="1" applyFill="1" applyBorder="1" applyAlignment="1" applyProtection="1"/>
    <xf numFmtId="0" fontId="15" fillId="0" borderId="0" xfId="1" applyFont="1" applyBorder="1" applyAlignment="1" applyProtection="1"/>
    <xf numFmtId="3" fontId="1" fillId="4" borderId="25" xfId="0" applyNumberFormat="1" applyFont="1" applyFill="1" applyBorder="1" applyAlignment="1" applyProtection="1">
      <alignment horizontal="center"/>
    </xf>
    <xf numFmtId="3" fontId="1" fillId="0" borderId="25" xfId="0" applyNumberFormat="1" applyFont="1" applyFill="1" applyBorder="1" applyAlignment="1" applyProtection="1">
      <alignment horizontal="center"/>
    </xf>
    <xf numFmtId="165" fontId="1" fillId="4" borderId="25" xfId="0" applyNumberFormat="1" applyFont="1" applyFill="1" applyBorder="1" applyAlignment="1" applyProtection="1">
      <alignment horizontal="center"/>
    </xf>
    <xf numFmtId="165" fontId="1" fillId="0" borderId="25" xfId="0" applyNumberFormat="1" applyFont="1" applyFill="1" applyBorder="1" applyAlignment="1" applyProtection="1">
      <alignment horizontal="center"/>
    </xf>
    <xf numFmtId="179" fontId="3" fillId="0" borderId="2" xfId="3" applyNumberFormat="1" applyFont="1" applyBorder="1" applyAlignment="1">
      <alignment horizontal="center" vertical="center"/>
    </xf>
    <xf numFmtId="179" fontId="3" fillId="0" borderId="4" xfId="3" applyNumberFormat="1" applyFont="1" applyBorder="1" applyAlignment="1">
      <alignment horizontal="center" vertical="center"/>
    </xf>
    <xf numFmtId="0" fontId="9" fillId="0" borderId="0" xfId="0" applyFont="1" applyFill="1" applyBorder="1" applyAlignment="1" applyProtection="1">
      <alignment horizontal="center" wrapText="1"/>
    </xf>
    <xf numFmtId="0" fontId="1" fillId="0" borderId="6" xfId="0" applyFont="1" applyBorder="1" applyProtection="1"/>
    <xf numFmtId="0" fontId="18" fillId="0" borderId="6" xfId="0" applyFont="1" applyBorder="1" applyProtection="1"/>
    <xf numFmtId="0" fontId="18" fillId="0" borderId="5" xfId="0" applyFont="1" applyBorder="1" applyProtection="1"/>
    <xf numFmtId="0" fontId="0" fillId="0" borderId="49" xfId="0" applyBorder="1" applyAlignment="1"/>
    <xf numFmtId="0" fontId="0" fillId="0" borderId="47" xfId="0" applyBorder="1" applyAlignment="1"/>
    <xf numFmtId="0" fontId="1" fillId="0" borderId="43" xfId="0" applyFont="1" applyBorder="1" applyProtection="1"/>
    <xf numFmtId="0" fontId="10" fillId="0" borderId="1"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1" xfId="3" applyFont="1" applyBorder="1" applyAlignment="1">
      <alignment horizontal="center" vertical="center"/>
    </xf>
    <xf numFmtId="0" fontId="10" fillId="0" borderId="2" xfId="3" applyFont="1" applyBorder="1" applyAlignment="1">
      <alignment horizontal="center" vertical="center"/>
    </xf>
    <xf numFmtId="0" fontId="10" fillId="0" borderId="1" xfId="3" applyFont="1" applyBorder="1" applyAlignment="1">
      <alignment horizontal="center" vertical="top" wrapText="1"/>
    </xf>
    <xf numFmtId="0" fontId="10" fillId="0" borderId="2" xfId="3" applyFont="1" applyBorder="1" applyAlignment="1">
      <alignment horizontal="center" vertical="top" wrapText="1"/>
    </xf>
    <xf numFmtId="0" fontId="3" fillId="0" borderId="0" xfId="3" applyBorder="1" applyAlignment="1">
      <alignment horizontal="center"/>
    </xf>
    <xf numFmtId="0" fontId="36" fillId="0" borderId="49" xfId="3" applyFont="1" applyFill="1" applyBorder="1" applyAlignment="1">
      <alignment horizontal="center"/>
    </xf>
    <xf numFmtId="0" fontId="36" fillId="0" borderId="48" xfId="3" applyFont="1" applyFill="1" applyBorder="1" applyAlignment="1">
      <alignment horizontal="center"/>
    </xf>
    <xf numFmtId="1" fontId="3" fillId="0" borderId="0" xfId="3" applyNumberFormat="1" applyBorder="1" applyAlignment="1">
      <alignment horizontal="center"/>
    </xf>
    <xf numFmtId="1" fontId="3" fillId="0" borderId="5" xfId="3" applyNumberFormat="1" applyBorder="1" applyAlignment="1">
      <alignment horizontal="center"/>
    </xf>
    <xf numFmtId="0" fontId="36" fillId="0" borderId="47" xfId="3" applyFont="1" applyFill="1" applyBorder="1" applyAlignment="1">
      <alignment horizontal="center"/>
    </xf>
    <xf numFmtId="0" fontId="10" fillId="0" borderId="0" xfId="3" applyFont="1" applyBorder="1" applyAlignment="1">
      <alignment horizontal="center" vertical="top" wrapText="1"/>
    </xf>
    <xf numFmtId="179" fontId="3" fillId="0" borderId="0" xfId="3" applyNumberFormat="1" applyBorder="1" applyAlignment="1">
      <alignment horizontal="center"/>
    </xf>
    <xf numFmtId="179" fontId="3" fillId="0" borderId="5" xfId="3" applyNumberFormat="1" applyBorder="1" applyAlignment="1">
      <alignment horizontal="center"/>
    </xf>
    <xf numFmtId="0" fontId="35" fillId="0" borderId="0" xfId="3" applyFont="1" applyFill="1" applyBorder="1" applyAlignment="1" applyProtection="1">
      <alignment horizontal="center"/>
      <protection locked="0"/>
    </xf>
    <xf numFmtId="0" fontId="13" fillId="0" borderId="0" xfId="3" applyFont="1" applyBorder="1" applyAlignment="1">
      <alignment horizontal="center" vertical="center" wrapText="1"/>
    </xf>
    <xf numFmtId="3" fontId="1" fillId="0" borderId="35" xfId="0" applyNumberFormat="1" applyFont="1" applyFill="1" applyBorder="1" applyAlignment="1" applyProtection="1">
      <alignment horizontal="center"/>
    </xf>
    <xf numFmtId="0" fontId="9" fillId="0" borderId="14" xfId="0" applyFont="1" applyBorder="1" applyAlignment="1" applyProtection="1">
      <alignment horizontal="center"/>
    </xf>
    <xf numFmtId="0" fontId="9" fillId="0" borderId="50" xfId="0" applyFont="1" applyBorder="1" applyAlignment="1" applyProtection="1">
      <alignment horizontal="center"/>
    </xf>
    <xf numFmtId="0" fontId="1" fillId="0" borderId="50" xfId="0" applyFont="1" applyBorder="1" applyAlignment="1" applyProtection="1">
      <alignment horizontal="center"/>
    </xf>
    <xf numFmtId="166" fontId="1" fillId="0" borderId="50" xfId="0" applyNumberFormat="1" applyFont="1" applyBorder="1" applyAlignment="1" applyProtection="1">
      <alignment horizontal="center"/>
    </xf>
    <xf numFmtId="0" fontId="9" fillId="0" borderId="51" xfId="0" applyFont="1" applyBorder="1" applyAlignment="1" applyProtection="1">
      <alignment horizontal="center"/>
    </xf>
    <xf numFmtId="0" fontId="0" fillId="0" borderId="0" xfId="0" applyNumberFormat="1" applyProtection="1">
      <protection hidden="1"/>
    </xf>
    <xf numFmtId="0" fontId="0" fillId="0" borderId="0" xfId="0" applyNumberFormat="1" applyProtection="1"/>
    <xf numFmtId="0" fontId="1" fillId="0" borderId="0" xfId="0" applyNumberFormat="1" applyFont="1" applyFill="1" applyBorder="1" applyAlignment="1" applyProtection="1">
      <alignment horizontal="center" wrapText="1"/>
    </xf>
    <xf numFmtId="0" fontId="1" fillId="0" borderId="0" xfId="0" applyNumberFormat="1" applyFont="1" applyFill="1" applyBorder="1" applyAlignment="1" applyProtection="1">
      <alignment horizontal="center"/>
      <protection hidden="1"/>
    </xf>
    <xf numFmtId="181" fontId="1" fillId="0" borderId="0" xfId="0" applyNumberFormat="1" applyFont="1" applyFill="1" applyBorder="1" applyAlignment="1" applyProtection="1">
      <alignment horizontal="center" wrapText="1"/>
    </xf>
    <xf numFmtId="0" fontId="1" fillId="0" borderId="25" xfId="0" applyNumberFormat="1" applyFont="1" applyFill="1" applyBorder="1" applyAlignment="1" applyProtection="1">
      <alignment horizontal="center"/>
    </xf>
    <xf numFmtId="0" fontId="9" fillId="0" borderId="0" xfId="0" applyFont="1" applyFill="1" applyBorder="1" applyAlignment="1" applyProtection="1">
      <alignment vertical="center"/>
    </xf>
    <xf numFmtId="0" fontId="9" fillId="0" borderId="2" xfId="0" applyFont="1" applyFill="1" applyBorder="1" applyAlignment="1" applyProtection="1">
      <alignment vertical="center"/>
    </xf>
    <xf numFmtId="0" fontId="15" fillId="0" borderId="0" xfId="0" applyFont="1" applyBorder="1" applyAlignment="1">
      <alignment horizontal="center"/>
    </xf>
    <xf numFmtId="0" fontId="34" fillId="0" borderId="0" xfId="0" applyFont="1" applyFill="1" applyBorder="1" applyAlignment="1" applyProtection="1">
      <alignment horizontal="center" wrapText="1"/>
      <protection locked="0"/>
    </xf>
    <xf numFmtId="0" fontId="1" fillId="0" borderId="33" xfId="0" applyFont="1" applyBorder="1" applyAlignment="1" applyProtection="1">
      <alignment horizontal="left"/>
    </xf>
    <xf numFmtId="0" fontId="1" fillId="0" borderId="37" xfId="0" applyFont="1" applyBorder="1" applyAlignment="1" applyProtection="1">
      <alignment horizontal="left"/>
    </xf>
    <xf numFmtId="0" fontId="1" fillId="0" borderId="40" xfId="0" applyFont="1" applyBorder="1" applyAlignment="1" applyProtection="1">
      <alignment horizontal="left"/>
    </xf>
    <xf numFmtId="166" fontId="1" fillId="0" borderId="33" xfId="0" applyNumberFormat="1" applyFont="1" applyBorder="1" applyAlignment="1" applyProtection="1">
      <alignment horizontal="left"/>
    </xf>
    <xf numFmtId="166" fontId="1" fillId="0" borderId="37" xfId="0" applyNumberFormat="1" applyFont="1" applyBorder="1" applyAlignment="1" applyProtection="1">
      <alignment horizontal="left"/>
    </xf>
    <xf numFmtId="166" fontId="1" fillId="0" borderId="40" xfId="0" applyNumberFormat="1" applyFont="1" applyBorder="1" applyAlignment="1" applyProtection="1">
      <alignment horizontal="left"/>
    </xf>
    <xf numFmtId="0" fontId="9" fillId="0" borderId="0" xfId="0" applyFont="1" applyFill="1" applyBorder="1" applyAlignment="1" applyProtection="1">
      <alignment horizontal="center"/>
    </xf>
    <xf numFmtId="0" fontId="1" fillId="0" borderId="0" xfId="0" applyNumberFormat="1" applyFont="1" applyFill="1" applyBorder="1" applyAlignment="1" applyProtection="1"/>
    <xf numFmtId="166" fontId="1" fillId="0" borderId="0" xfId="0" applyNumberFormat="1" applyFont="1" applyBorder="1" applyAlignment="1" applyProtection="1">
      <alignment horizontal="center"/>
    </xf>
    <xf numFmtId="180" fontId="1" fillId="0" borderId="5" xfId="0" applyNumberFormat="1" applyFont="1" applyFill="1" applyBorder="1" applyAlignment="1" applyProtection="1">
      <alignment horizontal="center" wrapText="1"/>
    </xf>
    <xf numFmtId="166" fontId="1" fillId="0" borderId="5" xfId="0" applyNumberFormat="1" applyFont="1" applyFill="1" applyBorder="1" applyAlignment="1" applyProtection="1">
      <alignment horizontal="center" wrapText="1"/>
    </xf>
    <xf numFmtId="175" fontId="1" fillId="0" borderId="0" xfId="0" applyNumberFormat="1" applyFont="1" applyFill="1" applyBorder="1" applyAlignment="1" applyProtection="1">
      <alignment horizontal="center" wrapText="1"/>
    </xf>
    <xf numFmtId="0" fontId="1" fillId="0" borderId="0" xfId="0" applyFont="1" applyBorder="1" applyAlignment="1" applyProtection="1">
      <alignment horizontal="center"/>
    </xf>
    <xf numFmtId="0" fontId="1" fillId="6" borderId="6" xfId="0" applyFont="1" applyFill="1" applyBorder="1" applyAlignment="1" applyProtection="1">
      <alignment horizontal="center"/>
      <protection hidden="1"/>
    </xf>
    <xf numFmtId="0" fontId="1" fillId="6" borderId="11" xfId="0" applyFont="1" applyFill="1" applyBorder="1" applyAlignment="1" applyProtection="1">
      <alignment horizontal="center"/>
      <protection hidden="1"/>
    </xf>
    <xf numFmtId="0" fontId="1" fillId="6" borderId="12" xfId="0" applyFont="1" applyFill="1" applyBorder="1" applyAlignment="1" applyProtection="1">
      <alignment horizontal="center"/>
      <protection hidden="1"/>
    </xf>
    <xf numFmtId="0" fontId="1" fillId="6" borderId="13" xfId="0" applyFont="1" applyFill="1" applyBorder="1" applyAlignment="1" applyProtection="1">
      <alignment horizontal="center"/>
      <protection hidden="1"/>
    </xf>
    <xf numFmtId="3" fontId="1" fillId="6" borderId="0" xfId="0" applyNumberFormat="1" applyFont="1" applyFill="1" applyBorder="1" applyAlignment="1" applyProtection="1">
      <alignment horizontal="center"/>
      <protection hidden="1"/>
    </xf>
    <xf numFmtId="3" fontId="1" fillId="6" borderId="16" xfId="0" applyNumberFormat="1" applyFont="1" applyFill="1" applyBorder="1" applyAlignment="1" applyProtection="1">
      <alignment horizontal="center"/>
      <protection hidden="1"/>
    </xf>
    <xf numFmtId="0" fontId="1" fillId="6" borderId="17" xfId="0" applyFont="1" applyFill="1" applyBorder="1" applyAlignment="1" applyProtection="1">
      <alignment horizontal="center"/>
      <protection hidden="1"/>
    </xf>
    <xf numFmtId="0" fontId="1" fillId="6" borderId="18" xfId="0" applyFont="1" applyFill="1" applyBorder="1" applyAlignment="1" applyProtection="1">
      <alignment horizontal="center"/>
      <protection hidden="1"/>
    </xf>
    <xf numFmtId="0" fontId="1" fillId="6" borderId="4" xfId="0" applyFont="1" applyFill="1" applyBorder="1" applyAlignment="1" applyProtection="1">
      <alignment horizontal="center"/>
      <protection hidden="1"/>
    </xf>
    <xf numFmtId="0" fontId="1" fillId="6" borderId="43" xfId="0" applyFont="1" applyFill="1" applyBorder="1" applyProtection="1"/>
    <xf numFmtId="0" fontId="15" fillId="6" borderId="6" xfId="0" applyFont="1" applyFill="1" applyBorder="1" applyProtection="1"/>
    <xf numFmtId="0" fontId="15" fillId="6" borderId="13" xfId="0" applyFont="1" applyFill="1" applyBorder="1" applyProtection="1"/>
    <xf numFmtId="0" fontId="15" fillId="6" borderId="3" xfId="0" applyFont="1" applyFill="1" applyBorder="1" applyProtection="1"/>
    <xf numFmtId="0" fontId="15" fillId="6" borderId="5" xfId="0" applyFont="1" applyFill="1" applyBorder="1" applyProtection="1"/>
    <xf numFmtId="0" fontId="15" fillId="6" borderId="4" xfId="0" applyFont="1" applyFill="1" applyBorder="1" applyProtection="1"/>
    <xf numFmtId="0" fontId="15" fillId="6" borderId="15" xfId="0" applyFont="1" applyFill="1" applyBorder="1" applyProtection="1">
      <protection hidden="1"/>
    </xf>
    <xf numFmtId="0" fontId="1" fillId="6" borderId="20" xfId="0" applyFont="1" applyFill="1" applyBorder="1" applyAlignment="1" applyProtection="1">
      <alignment horizontal="center"/>
      <protection hidden="1"/>
    </xf>
    <xf numFmtId="168" fontId="1" fillId="6" borderId="21" xfId="0" applyNumberFormat="1" applyFont="1" applyFill="1" applyBorder="1" applyAlignment="1" applyProtection="1">
      <alignment horizontal="center"/>
      <protection hidden="1"/>
    </xf>
    <xf numFmtId="168" fontId="1" fillId="6" borderId="9" xfId="0" applyNumberFormat="1" applyFont="1" applyFill="1" applyBorder="1" applyAlignment="1" applyProtection="1">
      <alignment horizontal="center"/>
      <protection hidden="1"/>
    </xf>
    <xf numFmtId="168" fontId="1" fillId="6" borderId="22" xfId="0" applyNumberFormat="1" applyFont="1" applyFill="1" applyBorder="1" applyAlignment="1" applyProtection="1">
      <alignment horizontal="center"/>
      <protection hidden="1"/>
    </xf>
    <xf numFmtId="168" fontId="1" fillId="6" borderId="23" xfId="0" applyNumberFormat="1" applyFont="1" applyFill="1" applyBorder="1" applyAlignment="1" applyProtection="1">
      <alignment horizontal="center"/>
      <protection hidden="1"/>
    </xf>
    <xf numFmtId="168" fontId="1" fillId="6" borderId="24" xfId="0" applyNumberFormat="1" applyFont="1" applyFill="1" applyBorder="1" applyAlignment="1" applyProtection="1">
      <alignment horizontal="center"/>
      <protection hidden="1"/>
    </xf>
    <xf numFmtId="0" fontId="1" fillId="7" borderId="29" xfId="0" applyNumberFormat="1" applyFont="1" applyFill="1" applyBorder="1" applyAlignment="1" applyProtection="1">
      <protection hidden="1"/>
    </xf>
    <xf numFmtId="0" fontId="0" fillId="7" borderId="37" xfId="0" applyFill="1" applyBorder="1" applyAlignment="1" applyProtection="1">
      <protection hidden="1"/>
    </xf>
    <xf numFmtId="0" fontId="0" fillId="7" borderId="40" xfId="0" applyFill="1" applyBorder="1" applyAlignment="1" applyProtection="1">
      <protection hidden="1"/>
    </xf>
    <xf numFmtId="167" fontId="14" fillId="7" borderId="31" xfId="0" applyNumberFormat="1" applyFont="1" applyFill="1" applyBorder="1" applyAlignment="1" applyProtection="1">
      <alignment horizontal="center"/>
      <protection hidden="1"/>
    </xf>
    <xf numFmtId="3" fontId="14" fillId="7" borderId="25" xfId="0" applyNumberFormat="1" applyFont="1" applyFill="1" applyBorder="1" applyAlignment="1" applyProtection="1">
      <alignment horizontal="center"/>
      <protection hidden="1"/>
    </xf>
    <xf numFmtId="0" fontId="14" fillId="7" borderId="25" xfId="0" applyFont="1" applyFill="1" applyBorder="1" applyAlignment="1" applyProtection="1">
      <alignment horizontal="center"/>
      <protection hidden="1"/>
    </xf>
    <xf numFmtId="0" fontId="16" fillId="7" borderId="29" xfId="0" applyFont="1" applyFill="1" applyBorder="1" applyAlignment="1" applyProtection="1">
      <alignment horizontal="center"/>
      <protection hidden="1"/>
    </xf>
    <xf numFmtId="171" fontId="14" fillId="7" borderId="25" xfId="0" applyNumberFormat="1" applyFont="1" applyFill="1" applyBorder="1" applyAlignment="1" applyProtection="1">
      <alignment horizontal="center"/>
      <protection hidden="1"/>
    </xf>
    <xf numFmtId="177" fontId="14" fillId="7" borderId="25" xfId="0" applyNumberFormat="1" applyFont="1" applyFill="1" applyBorder="1" applyAlignment="1" applyProtection="1">
      <alignment horizontal="center"/>
      <protection hidden="1"/>
    </xf>
    <xf numFmtId="166" fontId="14" fillId="7" borderId="25" xfId="0" applyNumberFormat="1" applyFont="1" applyFill="1" applyBorder="1" applyAlignment="1" applyProtection="1">
      <alignment horizontal="center"/>
      <protection hidden="1"/>
    </xf>
    <xf numFmtId="175" fontId="17" fillId="7" borderId="25" xfId="0" applyNumberFormat="1" applyFont="1" applyFill="1" applyBorder="1" applyAlignment="1" applyProtection="1">
      <alignment horizontal="center"/>
      <protection hidden="1"/>
    </xf>
    <xf numFmtId="165" fontId="1" fillId="7" borderId="30" xfId="0" applyNumberFormat="1" applyFont="1" applyFill="1" applyBorder="1" applyAlignment="1" applyProtection="1">
      <alignment horizontal="center"/>
      <protection hidden="1"/>
    </xf>
    <xf numFmtId="0" fontId="1" fillId="7" borderId="0" xfId="0" quotePrefix="1" applyFont="1" applyFill="1" applyBorder="1" applyAlignment="1" applyProtection="1">
      <alignment horizontal="center"/>
    </xf>
    <xf numFmtId="172" fontId="1" fillId="7" borderId="27" xfId="0" applyNumberFormat="1" applyFont="1" applyFill="1" applyBorder="1" applyAlignment="1" applyProtection="1">
      <alignment horizontal="center"/>
      <protection hidden="1"/>
    </xf>
    <xf numFmtId="173" fontId="1" fillId="7" borderId="25" xfId="0" applyNumberFormat="1" applyFont="1" applyFill="1" applyBorder="1" applyAlignment="1" applyProtection="1">
      <alignment horizontal="center"/>
      <protection hidden="1"/>
    </xf>
    <xf numFmtId="173" fontId="1" fillId="7" borderId="30" xfId="0" applyNumberFormat="1" applyFont="1" applyFill="1" applyBorder="1" applyAlignment="1" applyProtection="1">
      <alignment horizontal="center"/>
      <protection hidden="1"/>
    </xf>
    <xf numFmtId="169" fontId="1" fillId="7" borderId="28" xfId="0" applyNumberFormat="1" applyFont="1" applyFill="1" applyBorder="1" applyAlignment="1" applyProtection="1">
      <alignment horizontal="center"/>
      <protection hidden="1"/>
    </xf>
    <xf numFmtId="170" fontId="1" fillId="7" borderId="31" xfId="0" applyNumberFormat="1" applyFont="1" applyFill="1" applyBorder="1" applyAlignment="1" applyProtection="1">
      <alignment horizontal="center"/>
      <protection hidden="1"/>
    </xf>
    <xf numFmtId="169" fontId="19" fillId="7" borderId="30" xfId="0" applyNumberFormat="1" applyFont="1" applyFill="1" applyBorder="1" applyAlignment="1" applyProtection="1">
      <alignment horizontal="center"/>
      <protection hidden="1"/>
    </xf>
    <xf numFmtId="166" fontId="1" fillId="7" borderId="32" xfId="0" applyNumberFormat="1" applyFont="1" applyFill="1" applyBorder="1" applyAlignment="1" applyProtection="1">
      <alignment horizontal="center"/>
      <protection hidden="1"/>
    </xf>
    <xf numFmtId="169" fontId="19" fillId="7" borderId="33" xfId="0" applyNumberFormat="1" applyFont="1" applyFill="1" applyBorder="1" applyAlignment="1" applyProtection="1">
      <alignment horizontal="center"/>
      <protection hidden="1"/>
    </xf>
    <xf numFmtId="164" fontId="27" fillId="7" borderId="32" xfId="0" applyNumberFormat="1" applyFont="1" applyFill="1" applyBorder="1" applyAlignment="1" applyProtection="1">
      <alignment horizontal="center"/>
      <protection hidden="1"/>
    </xf>
    <xf numFmtId="0" fontId="0" fillId="7" borderId="0" xfId="0" applyNumberFormat="1" applyFill="1" applyProtection="1">
      <protection hidden="1"/>
    </xf>
    <xf numFmtId="0" fontId="15" fillId="7" borderId="0" xfId="0" applyFont="1" applyFill="1" applyProtection="1"/>
    <xf numFmtId="0" fontId="15" fillId="0" borderId="1" xfId="0" quotePrefix="1" applyFont="1" applyBorder="1" applyAlignment="1">
      <alignment horizontal="center"/>
    </xf>
    <xf numFmtId="0" fontId="1" fillId="0" borderId="1" xfId="0" applyFont="1" applyBorder="1" applyAlignment="1" applyProtection="1">
      <alignment horizontal="center"/>
    </xf>
    <xf numFmtId="0" fontId="15" fillId="0" borderId="25" xfId="0" applyFont="1" applyBorder="1" applyAlignment="1">
      <alignment horizontal="center"/>
    </xf>
    <xf numFmtId="0" fontId="15" fillId="0" borderId="25" xfId="0" applyFont="1" applyFill="1" applyBorder="1" applyAlignment="1">
      <alignment horizontal="center"/>
    </xf>
    <xf numFmtId="1" fontId="1" fillId="5" borderId="25" xfId="0" applyNumberFormat="1" applyFont="1" applyFill="1" applyBorder="1" applyAlignment="1" applyProtection="1">
      <alignment horizontal="center"/>
    </xf>
    <xf numFmtId="0" fontId="15" fillId="0" borderId="32" xfId="0" quotePrefix="1" applyFont="1" applyBorder="1" applyAlignment="1">
      <alignment horizontal="center"/>
    </xf>
    <xf numFmtId="0" fontId="15" fillId="0" borderId="22" xfId="0" quotePrefix="1" applyFont="1" applyBorder="1" applyAlignment="1">
      <alignment horizontal="center"/>
    </xf>
    <xf numFmtId="0" fontId="15" fillId="0" borderId="35" xfId="0" applyFont="1" applyBorder="1" applyAlignment="1">
      <alignment horizontal="center"/>
    </xf>
    <xf numFmtId="0" fontId="15" fillId="0" borderId="32" xfId="0" applyFont="1" applyBorder="1" applyAlignment="1">
      <alignment horizontal="center"/>
    </xf>
    <xf numFmtId="0" fontId="15" fillId="0" borderId="22" xfId="0" applyFont="1" applyBorder="1" applyAlignment="1">
      <alignment horizontal="center"/>
    </xf>
    <xf numFmtId="10" fontId="15" fillId="0" borderId="25" xfId="4" applyNumberFormat="1" applyFont="1" applyBorder="1" applyAlignment="1">
      <alignment horizontal="center"/>
    </xf>
    <xf numFmtId="10" fontId="15" fillId="0" borderId="35" xfId="4" applyNumberFormat="1" applyFont="1" applyBorder="1" applyAlignment="1">
      <alignment horizontal="center"/>
    </xf>
    <xf numFmtId="10" fontId="15" fillId="0" borderId="0" xfId="4" applyNumberFormat="1" applyFont="1" applyBorder="1" applyAlignment="1">
      <alignment horizontal="center"/>
    </xf>
    <xf numFmtId="10" fontId="1" fillId="0" borderId="0" xfId="4" applyNumberFormat="1" applyFont="1" applyBorder="1" applyAlignment="1" applyProtection="1">
      <alignment horizontal="center"/>
    </xf>
    <xf numFmtId="10" fontId="15" fillId="0" borderId="25" xfId="4" applyNumberFormat="1" applyFont="1" applyBorder="1" applyAlignment="1" applyProtection="1">
      <alignment horizontal="center"/>
    </xf>
    <xf numFmtId="10" fontId="15" fillId="0" borderId="35" xfId="4" applyNumberFormat="1" applyFont="1" applyBorder="1" applyAlignment="1" applyProtection="1">
      <alignment horizontal="center"/>
    </xf>
    <xf numFmtId="3" fontId="1" fillId="4" borderId="0" xfId="0" applyNumberFormat="1" applyFont="1" applyFill="1" applyBorder="1" applyAlignment="1" applyProtection="1">
      <alignment horizontal="center"/>
    </xf>
    <xf numFmtId="3" fontId="1" fillId="0"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3" fontId="1" fillId="4" borderId="35" xfId="0" applyNumberFormat="1" applyFont="1" applyFill="1" applyBorder="1" applyAlignment="1" applyProtection="1">
      <alignment horizontal="center"/>
    </xf>
    <xf numFmtId="165" fontId="1" fillId="4" borderId="35" xfId="0" applyNumberFormat="1" applyFont="1" applyFill="1" applyBorder="1" applyAlignment="1" applyProtection="1">
      <alignment horizontal="center"/>
    </xf>
    <xf numFmtId="164" fontId="1" fillId="7" borderId="33" xfId="0" applyNumberFormat="1" applyFont="1" applyFill="1" applyBorder="1" applyAlignment="1" applyProtection="1">
      <alignment horizontal="center"/>
      <protection hidden="1"/>
    </xf>
    <xf numFmtId="0" fontId="14" fillId="0" borderId="25" xfId="0" applyNumberFormat="1" applyFont="1" applyFill="1" applyBorder="1" applyAlignment="1" applyProtection="1">
      <alignment horizontal="center"/>
      <protection hidden="1"/>
    </xf>
    <xf numFmtId="0" fontId="14" fillId="7" borderId="25" xfId="0" applyNumberFormat="1" applyFont="1" applyFill="1" applyBorder="1" applyAlignment="1" applyProtection="1">
      <alignment horizontal="center"/>
      <protection hidden="1"/>
    </xf>
    <xf numFmtId="0" fontId="15" fillId="0" borderId="32" xfId="0" applyNumberFormat="1" applyFont="1" applyBorder="1" applyProtection="1">
      <protection hidden="1"/>
    </xf>
    <xf numFmtId="0" fontId="15" fillId="0" borderId="30" xfId="0" applyNumberFormat="1" applyFont="1" applyFill="1" applyBorder="1" applyAlignment="1" applyProtection="1">
      <alignment horizontal="center"/>
      <protection hidden="1"/>
    </xf>
    <xf numFmtId="0" fontId="15" fillId="7" borderId="32" xfId="0" applyNumberFormat="1" applyFont="1" applyFill="1" applyBorder="1" applyProtection="1">
      <protection hidden="1"/>
    </xf>
    <xf numFmtId="0" fontId="15" fillId="7" borderId="30" xfId="0" applyNumberFormat="1" applyFont="1" applyFill="1" applyBorder="1" applyAlignment="1" applyProtection="1">
      <alignment horizontal="center"/>
      <protection hidden="1"/>
    </xf>
    <xf numFmtId="0" fontId="15" fillId="0" borderId="22" xfId="0" applyNumberFormat="1" applyFont="1" applyBorder="1" applyProtection="1">
      <protection hidden="1"/>
    </xf>
    <xf numFmtId="0" fontId="14" fillId="0" borderId="35" xfId="0" applyNumberFormat="1" applyFont="1" applyFill="1" applyBorder="1" applyAlignment="1" applyProtection="1">
      <alignment horizontal="center"/>
      <protection hidden="1"/>
    </xf>
    <xf numFmtId="0" fontId="15" fillId="0" borderId="9" xfId="0" applyNumberFormat="1" applyFont="1" applyFill="1" applyBorder="1" applyAlignment="1" applyProtection="1">
      <alignment horizontal="center"/>
      <protection hidden="1"/>
    </xf>
    <xf numFmtId="49" fontId="41" fillId="0" borderId="0" xfId="0" applyNumberFormat="1" applyFont="1" applyFill="1" applyBorder="1" applyAlignment="1" applyProtection="1"/>
    <xf numFmtId="3" fontId="41" fillId="4" borderId="0" xfId="0" applyNumberFormat="1" applyFont="1" applyFill="1" applyBorder="1" applyAlignment="1" applyProtection="1">
      <alignment horizontal="center"/>
    </xf>
    <xf numFmtId="0" fontId="28" fillId="0" borderId="0" xfId="0" applyNumberFormat="1" applyFont="1" applyFill="1" applyBorder="1" applyAlignment="1" applyProtection="1">
      <alignment wrapText="1"/>
    </xf>
    <xf numFmtId="0" fontId="15" fillId="0" borderId="25" xfId="0" applyFont="1" applyBorder="1" applyProtection="1"/>
    <xf numFmtId="49" fontId="1" fillId="0" borderId="32" xfId="0" applyNumberFormat="1" applyFont="1" applyFill="1" applyBorder="1" applyAlignment="1" applyProtection="1"/>
    <xf numFmtId="0" fontId="1" fillId="0" borderId="30" xfId="0" applyNumberFormat="1" applyFont="1" applyFill="1" applyBorder="1" applyAlignment="1" applyProtection="1"/>
    <xf numFmtId="49" fontId="1" fillId="0" borderId="22" xfId="0" applyNumberFormat="1" applyFont="1" applyFill="1" applyBorder="1" applyAlignment="1" applyProtection="1"/>
    <xf numFmtId="0" fontId="45" fillId="0" borderId="0" xfId="0" applyFont="1" applyAlignment="1" applyProtection="1">
      <alignment horizontal="right"/>
    </xf>
    <xf numFmtId="0" fontId="45" fillId="0" borderId="0" xfId="0" applyFont="1" applyFill="1" applyBorder="1" applyAlignment="1" applyProtection="1">
      <alignment horizontal="left" wrapText="1"/>
    </xf>
    <xf numFmtId="0" fontId="45" fillId="0" borderId="0" xfId="0" applyFont="1" applyFill="1" applyBorder="1" applyAlignment="1" applyProtection="1">
      <alignment horizontal="center" wrapText="1"/>
    </xf>
    <xf numFmtId="0" fontId="42" fillId="0" borderId="0" xfId="0" applyFont="1" applyFill="1" applyBorder="1" applyAlignment="1" applyProtection="1"/>
    <xf numFmtId="0" fontId="1" fillId="0" borderId="5" xfId="0" applyFont="1" applyFill="1" applyBorder="1" applyAlignment="1" applyProtection="1">
      <alignment horizontal="center" wrapText="1"/>
    </xf>
    <xf numFmtId="0" fontId="0" fillId="0" borderId="0" xfId="0" applyFill="1" applyProtection="1"/>
    <xf numFmtId="0" fontId="18" fillId="0" borderId="0" xfId="0" applyFont="1" applyBorder="1" applyProtection="1">
      <protection hidden="1"/>
    </xf>
    <xf numFmtId="0" fontId="15" fillId="0" borderId="10" xfId="0" applyFont="1" applyBorder="1" applyProtection="1">
      <protection hidden="1"/>
    </xf>
    <xf numFmtId="0" fontId="0" fillId="9" borderId="43" xfId="0" applyFill="1" applyBorder="1" applyProtection="1"/>
    <xf numFmtId="0" fontId="0" fillId="9" borderId="6" xfId="0" applyFill="1" applyBorder="1" applyProtection="1"/>
    <xf numFmtId="0" fontId="0" fillId="9" borderId="13" xfId="0" applyFill="1" applyBorder="1" applyProtection="1"/>
    <xf numFmtId="0" fontId="0" fillId="9" borderId="1" xfId="0" applyFill="1" applyBorder="1" applyProtection="1"/>
    <xf numFmtId="0" fontId="0" fillId="9" borderId="0" xfId="0" applyFill="1" applyBorder="1" applyProtection="1"/>
    <xf numFmtId="0" fontId="0" fillId="9" borderId="2" xfId="0" applyFill="1" applyBorder="1" applyProtection="1"/>
    <xf numFmtId="0" fontId="15" fillId="9" borderId="0" xfId="0" applyFont="1" applyFill="1" applyProtection="1"/>
    <xf numFmtId="0" fontId="44" fillId="9" borderId="0" xfId="0" applyFont="1" applyFill="1" applyAlignment="1" applyProtection="1"/>
    <xf numFmtId="0" fontId="15" fillId="9" borderId="0" xfId="0" applyNumberFormat="1" applyFont="1" applyFill="1" applyProtection="1"/>
    <xf numFmtId="0" fontId="0" fillId="9" borderId="0" xfId="0" applyFill="1" applyProtection="1"/>
    <xf numFmtId="0" fontId="34" fillId="9" borderId="50" xfId="0" applyFont="1" applyFill="1" applyBorder="1" applyAlignment="1" applyProtection="1">
      <alignment horizontal="center"/>
      <protection locked="0"/>
    </xf>
    <xf numFmtId="0" fontId="34" fillId="9" borderId="34" xfId="0" applyFont="1" applyFill="1" applyBorder="1" applyAlignment="1" applyProtection="1">
      <alignment horizontal="center"/>
      <protection locked="0"/>
    </xf>
    <xf numFmtId="0" fontId="34" fillId="9" borderId="30" xfId="0" applyFont="1" applyFill="1" applyBorder="1" applyAlignment="1" applyProtection="1">
      <alignment horizontal="center"/>
      <protection locked="0"/>
    </xf>
    <xf numFmtId="0" fontId="34" fillId="9" borderId="19" xfId="0" applyFont="1" applyFill="1" applyBorder="1" applyAlignment="1" applyProtection="1">
      <alignment horizontal="center"/>
      <protection locked="0" hidden="1"/>
    </xf>
    <xf numFmtId="0" fontId="46" fillId="9" borderId="0" xfId="0" applyFont="1" applyFill="1" applyBorder="1" applyAlignment="1" applyProtection="1">
      <alignment horizontal="center" wrapText="1"/>
    </xf>
    <xf numFmtId="0" fontId="48" fillId="0" borderId="1" xfId="0" applyFont="1" applyFill="1" applyBorder="1" applyProtection="1"/>
    <xf numFmtId="0" fontId="48" fillId="0" borderId="3" xfId="0" applyFont="1" applyFill="1" applyBorder="1" applyProtection="1">
      <protection hidden="1"/>
    </xf>
    <xf numFmtId="0" fontId="48" fillId="0" borderId="43" xfId="0" applyFont="1" applyFill="1" applyBorder="1" applyProtection="1"/>
    <xf numFmtId="0" fontId="48" fillId="0" borderId="1" xfId="0" applyFont="1" applyFill="1" applyBorder="1" applyProtection="1">
      <protection hidden="1"/>
    </xf>
    <xf numFmtId="0" fontId="48" fillId="0" borderId="3" xfId="0" applyFont="1" applyFill="1" applyBorder="1" applyProtection="1"/>
    <xf numFmtId="164" fontId="34" fillId="9" borderId="13" xfId="0" applyNumberFormat="1" applyFont="1" applyFill="1" applyBorder="1" applyAlignment="1" applyProtection="1">
      <alignment horizontal="center"/>
      <protection locked="0"/>
    </xf>
    <xf numFmtId="164" fontId="34" fillId="9" borderId="30" xfId="0" applyNumberFormat="1" applyFont="1" applyFill="1" applyBorder="1" applyAlignment="1" applyProtection="1">
      <alignment horizontal="center"/>
      <protection locked="0"/>
    </xf>
    <xf numFmtId="0" fontId="48" fillId="0" borderId="6" xfId="0" applyFont="1" applyFill="1" applyBorder="1" applyAlignment="1" applyProtection="1">
      <alignment horizontal="center"/>
    </xf>
    <xf numFmtId="0" fontId="48" fillId="0" borderId="0" xfId="0" applyFont="1" applyFill="1" applyBorder="1" applyAlignment="1" applyProtection="1">
      <alignment horizontal="center"/>
    </xf>
    <xf numFmtId="0" fontId="48" fillId="0" borderId="47" xfId="0" applyFont="1" applyFill="1" applyBorder="1" applyAlignment="1" applyProtection="1">
      <alignment horizontal="center"/>
    </xf>
    <xf numFmtId="0" fontId="49" fillId="0" borderId="47" xfId="0" applyFont="1" applyFill="1" applyBorder="1" applyAlignment="1" applyProtection="1">
      <alignment horizontal="center"/>
    </xf>
    <xf numFmtId="0" fontId="48" fillId="0" borderId="6" xfId="0" applyFont="1" applyFill="1" applyBorder="1" applyAlignment="1" applyProtection="1">
      <alignment horizontal="center" wrapText="1"/>
    </xf>
    <xf numFmtId="0" fontId="48" fillId="0" borderId="0" xfId="0" applyFont="1" applyFill="1" applyBorder="1" applyAlignment="1" applyProtection="1">
      <alignment horizontal="center" wrapText="1"/>
    </xf>
    <xf numFmtId="0" fontId="50" fillId="0" borderId="0" xfId="0" applyFont="1" applyProtection="1"/>
    <xf numFmtId="0" fontId="51" fillId="0" borderId="0" xfId="0" applyFont="1" applyAlignment="1" applyProtection="1">
      <alignment horizontal="right"/>
    </xf>
    <xf numFmtId="0" fontId="47" fillId="0" borderId="6" xfId="0" applyFont="1" applyBorder="1" applyProtection="1"/>
    <xf numFmtId="0" fontId="47" fillId="0" borderId="13" xfId="0" applyFont="1" applyBorder="1" applyProtection="1"/>
    <xf numFmtId="0" fontId="47" fillId="0" borderId="0" xfId="0" applyFont="1" applyFill="1" applyBorder="1" applyAlignment="1" applyProtection="1">
      <alignment horizontal="center"/>
    </xf>
    <xf numFmtId="0" fontId="47" fillId="0" borderId="47" xfId="0" applyFont="1" applyFill="1" applyBorder="1" applyAlignment="1" applyProtection="1">
      <alignment horizontal="center" wrapText="1"/>
    </xf>
    <xf numFmtId="0" fontId="47" fillId="0" borderId="47" xfId="0" applyFont="1" applyFill="1" applyBorder="1" applyAlignment="1" applyProtection="1">
      <alignment vertical="center"/>
    </xf>
    <xf numFmtId="0" fontId="47" fillId="0" borderId="48" xfId="0" applyFont="1" applyFill="1" applyBorder="1" applyAlignment="1" applyProtection="1">
      <alignment vertical="center"/>
    </xf>
    <xf numFmtId="166" fontId="34" fillId="9" borderId="25" xfId="0" applyNumberFormat="1" applyFont="1" applyFill="1" applyBorder="1" applyAlignment="1" applyProtection="1">
      <alignment horizontal="center"/>
      <protection locked="0"/>
    </xf>
    <xf numFmtId="166" fontId="34" fillId="9" borderId="35" xfId="0" applyNumberFormat="1" applyFont="1" applyFill="1" applyBorder="1" applyAlignment="1" applyProtection="1">
      <alignment horizontal="center"/>
      <protection locked="0"/>
    </xf>
    <xf numFmtId="0" fontId="53" fillId="0" borderId="6" xfId="0" applyFont="1" applyBorder="1" applyProtection="1"/>
    <xf numFmtId="0" fontId="53" fillId="0" borderId="47" xfId="0" applyFont="1" applyFill="1" applyBorder="1" applyAlignment="1" applyProtection="1">
      <alignment horizontal="center"/>
    </xf>
    <xf numFmtId="0" fontId="52" fillId="0" borderId="6" xfId="0" applyFont="1" applyBorder="1" applyProtection="1"/>
    <xf numFmtId="0" fontId="52" fillId="0" borderId="0" xfId="0" applyFont="1" applyFill="1" applyBorder="1" applyAlignment="1" applyProtection="1">
      <alignment horizontal="center"/>
    </xf>
    <xf numFmtId="0" fontId="52" fillId="0" borderId="47" xfId="0" applyFont="1" applyFill="1" applyBorder="1" applyAlignment="1" applyProtection="1">
      <alignment horizontal="center"/>
    </xf>
    <xf numFmtId="49" fontId="53" fillId="0" borderId="0" xfId="0" applyNumberFormat="1" applyFont="1" applyFill="1" applyBorder="1" applyAlignment="1" applyProtection="1"/>
    <xf numFmtId="0" fontId="1" fillId="8" borderId="0" xfId="0" applyFont="1" applyFill="1" applyBorder="1" applyAlignment="1" applyProtection="1">
      <alignment horizontal="center"/>
    </xf>
    <xf numFmtId="0" fontId="1" fillId="8" borderId="0" xfId="0" applyFont="1" applyFill="1" applyBorder="1" applyAlignment="1" applyProtection="1">
      <alignment horizontal="center"/>
      <protection hidden="1"/>
    </xf>
    <xf numFmtId="0" fontId="1" fillId="8" borderId="5" xfId="0" applyFont="1" applyFill="1" applyBorder="1" applyAlignment="1" applyProtection="1">
      <protection hidden="1"/>
    </xf>
    <xf numFmtId="0" fontId="1" fillId="8" borderId="5" xfId="0" applyFont="1" applyFill="1" applyBorder="1" applyAlignment="1" applyProtection="1">
      <alignment horizontal="center"/>
      <protection hidden="1"/>
    </xf>
    <xf numFmtId="0" fontId="1" fillId="8" borderId="41" xfId="0" applyFont="1" applyFill="1" applyBorder="1" applyAlignment="1" applyProtection="1">
      <protection hidden="1"/>
    </xf>
    <xf numFmtId="0" fontId="1" fillId="8" borderId="6" xfId="0" applyFont="1" applyFill="1" applyBorder="1" applyAlignment="1" applyProtection="1">
      <alignment horizontal="center"/>
      <protection hidden="1"/>
    </xf>
    <xf numFmtId="0" fontId="1" fillId="8" borderId="11" xfId="0" applyFont="1" applyFill="1" applyBorder="1" applyAlignment="1" applyProtection="1">
      <alignment horizontal="center"/>
      <protection hidden="1"/>
    </xf>
    <xf numFmtId="0" fontId="1" fillId="8" borderId="12" xfId="0" applyFont="1" applyFill="1" applyBorder="1" applyAlignment="1" applyProtection="1">
      <alignment horizontal="center"/>
      <protection hidden="1"/>
    </xf>
    <xf numFmtId="0" fontId="1" fillId="8" borderId="13" xfId="0" applyFont="1" applyFill="1" applyBorder="1" applyAlignment="1" applyProtection="1">
      <alignment horizontal="center"/>
      <protection hidden="1"/>
    </xf>
    <xf numFmtId="0" fontId="1" fillId="8" borderId="0" xfId="0" applyFont="1" applyFill="1" applyBorder="1" applyAlignment="1" applyProtection="1">
      <alignment horizontal="center" vertical="justify"/>
    </xf>
    <xf numFmtId="0" fontId="1" fillId="8" borderId="14" xfId="0" applyFont="1" applyFill="1" applyBorder="1" applyAlignment="1" applyProtection="1">
      <alignment horizontal="center"/>
      <protection hidden="1"/>
    </xf>
    <xf numFmtId="0" fontId="15" fillId="8" borderId="15" xfId="0" applyFont="1" applyFill="1" applyBorder="1" applyProtection="1">
      <protection hidden="1"/>
    </xf>
    <xf numFmtId="0" fontId="15" fillId="8" borderId="32" xfId="0" applyNumberFormat="1" applyFont="1" applyFill="1" applyBorder="1" applyProtection="1">
      <protection hidden="1"/>
    </xf>
    <xf numFmtId="0" fontId="1" fillId="8" borderId="25" xfId="0" applyNumberFormat="1" applyFont="1" applyFill="1" applyBorder="1" applyAlignment="1" applyProtection="1">
      <alignment horizontal="center"/>
      <protection hidden="1"/>
    </xf>
    <xf numFmtId="0" fontId="15" fillId="8" borderId="30" xfId="0" applyNumberFormat="1" applyFont="1" applyFill="1" applyBorder="1" applyProtection="1">
      <protection hidden="1"/>
    </xf>
    <xf numFmtId="3" fontId="1" fillId="8" borderId="0" xfId="0" applyNumberFormat="1" applyFont="1" applyFill="1" applyBorder="1" applyAlignment="1" applyProtection="1">
      <alignment horizontal="center"/>
      <protection hidden="1"/>
    </xf>
    <xf numFmtId="3" fontId="1" fillId="8" borderId="16" xfId="0" applyNumberFormat="1" applyFont="1" applyFill="1" applyBorder="1" applyAlignment="1" applyProtection="1">
      <alignment horizontal="center"/>
      <protection hidden="1"/>
    </xf>
    <xf numFmtId="0" fontId="1" fillId="8" borderId="17" xfId="0" applyFont="1" applyFill="1" applyBorder="1" applyAlignment="1" applyProtection="1">
      <alignment horizontal="center"/>
      <protection hidden="1"/>
    </xf>
    <xf numFmtId="0" fontId="1" fillId="8" borderId="18" xfId="0" applyFont="1" applyFill="1" applyBorder="1" applyAlignment="1" applyProtection="1">
      <alignment horizontal="center"/>
      <protection hidden="1"/>
    </xf>
    <xf numFmtId="0" fontId="1" fillId="8" borderId="4" xfId="0" applyFont="1" applyFill="1" applyBorder="1" applyAlignment="1" applyProtection="1">
      <alignment horizontal="center"/>
      <protection hidden="1"/>
    </xf>
    <xf numFmtId="0" fontId="1" fillId="8" borderId="17" xfId="0" applyFont="1" applyFill="1" applyBorder="1" applyAlignment="1" applyProtection="1">
      <alignment horizontal="center" wrapText="1"/>
      <protection hidden="1"/>
    </xf>
    <xf numFmtId="0" fontId="1" fillId="8" borderId="19" xfId="0" applyFont="1" applyFill="1" applyBorder="1" applyAlignment="1" applyProtection="1">
      <alignment horizontal="center"/>
      <protection hidden="1"/>
    </xf>
    <xf numFmtId="0" fontId="1" fillId="8" borderId="20" xfId="0" applyFont="1" applyFill="1" applyBorder="1" applyAlignment="1" applyProtection="1">
      <alignment horizontal="center"/>
      <protection hidden="1"/>
    </xf>
    <xf numFmtId="168" fontId="1" fillId="8" borderId="21" xfId="0" applyNumberFormat="1" applyFont="1" applyFill="1" applyBorder="1" applyAlignment="1" applyProtection="1">
      <alignment horizontal="center"/>
      <protection hidden="1"/>
    </xf>
    <xf numFmtId="168" fontId="1" fillId="8" borderId="9" xfId="0" applyNumberFormat="1" applyFont="1" applyFill="1" applyBorder="1" applyAlignment="1" applyProtection="1">
      <alignment horizontal="center"/>
      <protection hidden="1"/>
    </xf>
    <xf numFmtId="168" fontId="1" fillId="8" borderId="22" xfId="0" applyNumberFormat="1" applyFont="1" applyFill="1" applyBorder="1" applyAlignment="1" applyProtection="1">
      <alignment horizontal="center"/>
      <protection hidden="1"/>
    </xf>
    <xf numFmtId="168" fontId="1" fillId="8" borderId="23" xfId="0" applyNumberFormat="1" applyFont="1" applyFill="1" applyBorder="1" applyAlignment="1" applyProtection="1">
      <alignment horizontal="center"/>
      <protection hidden="1"/>
    </xf>
    <xf numFmtId="168" fontId="1" fillId="8" borderId="46" xfId="0" applyNumberFormat="1" applyFont="1" applyFill="1" applyBorder="1" applyAlignment="1" applyProtection="1">
      <alignment horizontal="center"/>
      <protection hidden="1"/>
    </xf>
    <xf numFmtId="0" fontId="14" fillId="8" borderId="25" xfId="0" applyNumberFormat="1" applyFont="1" applyFill="1" applyBorder="1" applyAlignment="1" applyProtection="1">
      <alignment horizontal="center"/>
      <protection hidden="1"/>
    </xf>
    <xf numFmtId="0" fontId="31" fillId="8" borderId="0" xfId="3" applyFont="1" applyFill="1"/>
    <xf numFmtId="0" fontId="35" fillId="8" borderId="0" xfId="3" applyFont="1" applyFill="1"/>
    <xf numFmtId="0" fontId="35" fillId="8" borderId="1" xfId="3" applyFont="1" applyFill="1" applyBorder="1" applyAlignment="1" applyProtection="1">
      <alignment horizontal="center"/>
      <protection locked="0"/>
    </xf>
    <xf numFmtId="1" fontId="57" fillId="0" borderId="0" xfId="3" applyNumberFormat="1" applyFont="1" applyBorder="1" applyAlignment="1">
      <alignment horizontal="center"/>
    </xf>
    <xf numFmtId="0" fontId="57" fillId="0" borderId="2" xfId="3" applyFont="1" applyBorder="1" applyAlignment="1">
      <alignment horizontal="center"/>
    </xf>
    <xf numFmtId="2" fontId="57" fillId="0" borderId="2" xfId="3" applyNumberFormat="1" applyFont="1" applyBorder="1" applyAlignment="1">
      <alignment horizontal="center"/>
    </xf>
    <xf numFmtId="2" fontId="57" fillId="0" borderId="2" xfId="3" applyNumberFormat="1" applyFont="1" applyBorder="1"/>
    <xf numFmtId="165" fontId="57" fillId="0" borderId="2" xfId="3" applyNumberFormat="1" applyFont="1" applyBorder="1" applyAlignment="1">
      <alignment horizontal="center"/>
    </xf>
    <xf numFmtId="0" fontId="31" fillId="8" borderId="0" xfId="3" applyFont="1" applyFill="1" applyAlignment="1">
      <alignment horizontal="center" vertical="center"/>
    </xf>
    <xf numFmtId="0" fontId="35" fillId="8" borderId="1" xfId="3" applyFont="1" applyFill="1" applyBorder="1" applyAlignment="1" applyProtection="1">
      <alignment horizontal="center" vertical="center" wrapText="1"/>
      <protection locked="0"/>
    </xf>
    <xf numFmtId="0" fontId="35" fillId="8" borderId="1" xfId="3" applyFont="1" applyFill="1" applyBorder="1" applyAlignment="1" applyProtection="1">
      <alignment horizontal="center" vertical="center"/>
      <protection locked="0"/>
    </xf>
    <xf numFmtId="4" fontId="57" fillId="0" borderId="2" xfId="3" applyNumberFormat="1" applyFont="1" applyBorder="1" applyAlignment="1">
      <alignment horizontal="center" vertical="center"/>
    </xf>
    <xf numFmtId="165" fontId="57" fillId="0" borderId="2" xfId="3" applyNumberFormat="1" applyFont="1" applyBorder="1" applyAlignment="1">
      <alignment horizontal="center" vertical="center"/>
    </xf>
    <xf numFmtId="2" fontId="57" fillId="0" borderId="2" xfId="3" applyNumberFormat="1" applyFont="1" applyBorder="1" applyAlignment="1">
      <alignment horizontal="center" vertical="center"/>
    </xf>
    <xf numFmtId="179" fontId="57" fillId="0" borderId="2" xfId="3" applyNumberFormat="1" applyFont="1" applyBorder="1" applyAlignment="1">
      <alignment horizontal="center" vertical="center"/>
    </xf>
    <xf numFmtId="179" fontId="57" fillId="0" borderId="2" xfId="3" applyNumberFormat="1" applyFont="1" applyBorder="1" applyAlignment="1">
      <alignment horizontal="center" vertical="center" wrapText="1"/>
    </xf>
    <xf numFmtId="0" fontId="57" fillId="0" borderId="2" xfId="3" applyFont="1" applyBorder="1" applyAlignment="1">
      <alignment horizontal="center" vertical="center" wrapText="1"/>
    </xf>
    <xf numFmtId="0" fontId="1" fillId="8" borderId="65" xfId="0" applyNumberFormat="1" applyFont="1" applyFill="1" applyBorder="1" applyAlignment="1" applyProtection="1">
      <alignment horizontal="center"/>
    </xf>
    <xf numFmtId="10" fontId="1" fillId="8" borderId="66" xfId="4" applyNumberFormat="1" applyFont="1" applyFill="1" applyBorder="1" applyAlignment="1" applyProtection="1">
      <alignment horizontal="center"/>
    </xf>
    <xf numFmtId="0" fontId="1" fillId="8" borderId="66" xfId="0" applyFont="1" applyFill="1" applyBorder="1" applyAlignment="1" applyProtection="1">
      <alignment horizontal="center"/>
    </xf>
    <xf numFmtId="0" fontId="24" fillId="8" borderId="65" xfId="0" applyFont="1" applyFill="1" applyBorder="1" applyAlignment="1" applyProtection="1">
      <alignment horizontal="center"/>
    </xf>
    <xf numFmtId="0" fontId="34" fillId="9" borderId="19" xfId="0" applyFont="1" applyFill="1" applyBorder="1" applyAlignment="1" applyProtection="1">
      <alignment horizontal="center"/>
      <protection locked="0"/>
    </xf>
    <xf numFmtId="3" fontId="14" fillId="0" borderId="19" xfId="0" applyNumberFormat="1" applyFont="1" applyFill="1" applyBorder="1" applyAlignment="1" applyProtection="1">
      <alignment horizontal="center"/>
    </xf>
    <xf numFmtId="0" fontId="48" fillId="0" borderId="69" xfId="0" applyFont="1" applyBorder="1" applyProtection="1"/>
    <xf numFmtId="0" fontId="18" fillId="0" borderId="70" xfId="0" applyFont="1" applyBorder="1" applyProtection="1"/>
    <xf numFmtId="0" fontId="15" fillId="0" borderId="70" xfId="0" applyFont="1" applyBorder="1" applyProtection="1"/>
    <xf numFmtId="0" fontId="15" fillId="0" borderId="71" xfId="0" applyFont="1" applyBorder="1" applyProtection="1"/>
    <xf numFmtId="165" fontId="14" fillId="0" borderId="72" xfId="0" applyNumberFormat="1" applyFont="1" applyFill="1" applyBorder="1" applyAlignment="1" applyProtection="1">
      <alignment horizontal="center"/>
      <protection locked="0"/>
    </xf>
    <xf numFmtId="3" fontId="58" fillId="11" borderId="34" xfId="0" applyNumberFormat="1" applyFont="1" applyFill="1" applyBorder="1" applyAlignment="1" applyProtection="1">
      <alignment horizontal="center"/>
      <protection locked="0" hidden="1"/>
    </xf>
    <xf numFmtId="166" fontId="1" fillId="12" borderId="1" xfId="0" applyNumberFormat="1" applyFont="1" applyFill="1" applyBorder="1" applyAlignment="1" applyProtection="1">
      <alignment horizontal="center" wrapText="1"/>
    </xf>
    <xf numFmtId="166" fontId="1" fillId="12" borderId="2" xfId="0" applyNumberFormat="1" applyFont="1" applyFill="1" applyBorder="1" applyAlignment="1" applyProtection="1">
      <alignment horizontal="center" wrapText="1"/>
    </xf>
    <xf numFmtId="166" fontId="1" fillId="12" borderId="3" xfId="0" applyNumberFormat="1" applyFont="1" applyFill="1" applyBorder="1" applyAlignment="1" applyProtection="1">
      <alignment horizontal="center" wrapText="1"/>
    </xf>
    <xf numFmtId="166" fontId="1" fillId="12" borderId="4" xfId="0" applyNumberFormat="1" applyFont="1" applyFill="1" applyBorder="1" applyAlignment="1" applyProtection="1">
      <alignment horizontal="center" wrapText="1"/>
    </xf>
    <xf numFmtId="0" fontId="51" fillId="0" borderId="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1" fillId="0" borderId="2" xfId="0" applyFont="1" applyBorder="1" applyProtection="1"/>
    <xf numFmtId="0" fontId="1" fillId="8" borderId="73" xfId="0" applyFont="1" applyFill="1" applyBorder="1" applyAlignment="1" applyProtection="1">
      <alignment horizontal="center"/>
    </xf>
    <xf numFmtId="0" fontId="15" fillId="0" borderId="33" xfId="0" applyFont="1" applyBorder="1" applyAlignment="1">
      <alignment horizontal="center"/>
    </xf>
    <xf numFmtId="0" fontId="15" fillId="0" borderId="36" xfId="0" applyFont="1" applyBorder="1" applyAlignment="1">
      <alignment horizontal="center"/>
    </xf>
    <xf numFmtId="165" fontId="15" fillId="0" borderId="33" xfId="0" applyNumberFormat="1" applyFont="1" applyBorder="1" applyAlignment="1">
      <alignment horizontal="center"/>
    </xf>
    <xf numFmtId="0" fontId="1" fillId="5" borderId="33" xfId="0" applyFont="1" applyFill="1" applyBorder="1" applyAlignment="1" applyProtection="1">
      <alignment horizontal="center"/>
    </xf>
    <xf numFmtId="0" fontId="15" fillId="0" borderId="33" xfId="0" applyFont="1" applyBorder="1" applyAlignment="1" applyProtection="1">
      <alignment horizontal="center"/>
    </xf>
    <xf numFmtId="0" fontId="15" fillId="0" borderId="36" xfId="0" applyFont="1" applyBorder="1" applyAlignment="1" applyProtection="1">
      <alignment horizontal="center"/>
    </xf>
    <xf numFmtId="0" fontId="1" fillId="8" borderId="39" xfId="0" applyFont="1" applyFill="1" applyBorder="1" applyAlignment="1" applyProtection="1">
      <alignment horizontal="center"/>
    </xf>
    <xf numFmtId="0" fontId="1" fillId="8" borderId="6" xfId="0" applyFont="1" applyFill="1" applyBorder="1" applyAlignment="1" applyProtection="1">
      <alignment horizontal="center"/>
    </xf>
    <xf numFmtId="0" fontId="47" fillId="0" borderId="0" xfId="0" applyFont="1" applyBorder="1" applyProtection="1"/>
    <xf numFmtId="0" fontId="53" fillId="0" borderId="1" xfId="0" applyFont="1" applyBorder="1" applyProtection="1"/>
    <xf numFmtId="0" fontId="15" fillId="0" borderId="30" xfId="0" applyFont="1" applyBorder="1" applyProtection="1"/>
    <xf numFmtId="0" fontId="15" fillId="0" borderId="9" xfId="0" applyFont="1" applyBorder="1" applyProtection="1"/>
    <xf numFmtId="0" fontId="15" fillId="0" borderId="35" xfId="0" applyFont="1" applyBorder="1" applyProtection="1"/>
    <xf numFmtId="0" fontId="1" fillId="6" borderId="43" xfId="0" applyFont="1" applyFill="1" applyBorder="1" applyAlignment="1" applyProtection="1">
      <alignment horizontal="center"/>
      <protection hidden="1"/>
    </xf>
    <xf numFmtId="0" fontId="1" fillId="6" borderId="13" xfId="0" applyFont="1" applyFill="1" applyBorder="1" applyAlignment="1" applyProtection="1">
      <alignment horizontal="center"/>
      <protection hidden="1"/>
    </xf>
    <xf numFmtId="0" fontId="1" fillId="8" borderId="43" xfId="0" applyFont="1" applyFill="1" applyBorder="1" applyAlignment="1" applyProtection="1">
      <alignment horizontal="center"/>
      <protection hidden="1"/>
    </xf>
    <xf numFmtId="0" fontId="1" fillId="8" borderId="6" xfId="0" applyFont="1" applyFill="1" applyBorder="1" applyAlignment="1" applyProtection="1">
      <alignment horizontal="center"/>
      <protection hidden="1"/>
    </xf>
    <xf numFmtId="165" fontId="15" fillId="0" borderId="25" xfId="0" applyNumberFormat="1" applyFont="1" applyBorder="1" applyProtection="1"/>
    <xf numFmtId="165" fontId="1" fillId="5" borderId="30" xfId="0" applyNumberFormat="1" applyFont="1" applyFill="1" applyBorder="1" applyProtection="1"/>
    <xf numFmtId="165" fontId="1" fillId="5" borderId="25" xfId="0" applyNumberFormat="1" applyFont="1" applyFill="1" applyBorder="1" applyProtection="1"/>
    <xf numFmtId="165" fontId="15" fillId="0" borderId="30" xfId="0" applyNumberFormat="1" applyFont="1" applyBorder="1" applyProtection="1"/>
    <xf numFmtId="165" fontId="15" fillId="0" borderId="35" xfId="0" applyNumberFormat="1" applyFont="1" applyBorder="1" applyProtection="1"/>
    <xf numFmtId="165" fontId="15" fillId="0" borderId="9" xfId="0" applyNumberFormat="1" applyFont="1" applyBorder="1" applyProtection="1"/>
    <xf numFmtId="165" fontId="1" fillId="0" borderId="0" xfId="0" applyNumberFormat="1" applyFont="1" applyBorder="1" applyProtection="1"/>
    <xf numFmtId="165" fontId="1" fillId="0" borderId="2" xfId="0" applyNumberFormat="1" applyFont="1" applyBorder="1" applyProtection="1"/>
    <xf numFmtId="165" fontId="1" fillId="8" borderId="6" xfId="0" applyNumberFormat="1" applyFont="1" applyFill="1" applyBorder="1" applyAlignment="1" applyProtection="1">
      <alignment horizontal="center"/>
    </xf>
    <xf numFmtId="165" fontId="1" fillId="8" borderId="39" xfId="0" applyNumberFormat="1" applyFont="1" applyFill="1" applyBorder="1" applyAlignment="1" applyProtection="1">
      <alignment horizontal="center"/>
    </xf>
    <xf numFmtId="165" fontId="1" fillId="0" borderId="25" xfId="0" applyNumberFormat="1" applyFont="1" applyBorder="1" applyProtection="1"/>
    <xf numFmtId="165" fontId="1" fillId="0" borderId="30" xfId="0" applyNumberFormat="1" applyFont="1" applyBorder="1" applyProtection="1"/>
    <xf numFmtId="165" fontId="1" fillId="0" borderId="35" xfId="0" applyNumberFormat="1" applyFont="1" applyBorder="1" applyProtection="1"/>
    <xf numFmtId="165" fontId="1" fillId="0" borderId="9" xfId="0" applyNumberFormat="1" applyFont="1" applyBorder="1" applyProtection="1"/>
    <xf numFmtId="165" fontId="15" fillId="0" borderId="2" xfId="0" applyNumberFormat="1" applyFont="1" applyBorder="1" applyProtection="1"/>
    <xf numFmtId="1" fontId="15" fillId="0" borderId="25" xfId="0" applyNumberFormat="1" applyFont="1" applyBorder="1" applyAlignment="1">
      <alignment horizontal="center"/>
    </xf>
    <xf numFmtId="1" fontId="1" fillId="0" borderId="0" xfId="0" applyNumberFormat="1" applyFont="1" applyBorder="1" applyAlignment="1" applyProtection="1">
      <alignment horizontal="center"/>
    </xf>
    <xf numFmtId="1" fontId="1" fillId="8" borderId="66" xfId="0" applyNumberFormat="1" applyFont="1" applyFill="1" applyBorder="1" applyAlignment="1" applyProtection="1">
      <alignment horizontal="center"/>
    </xf>
    <xf numFmtId="1" fontId="15" fillId="0" borderId="35" xfId="0" applyNumberFormat="1" applyFont="1" applyBorder="1" applyAlignment="1">
      <alignment horizontal="center"/>
    </xf>
    <xf numFmtId="0" fontId="1" fillId="8" borderId="74" xfId="0" applyFont="1" applyFill="1" applyBorder="1" applyAlignment="1" applyProtection="1">
      <protection hidden="1"/>
    </xf>
    <xf numFmtId="49" fontId="1" fillId="0" borderId="26" xfId="0" applyNumberFormat="1" applyFont="1" applyFill="1" applyBorder="1" applyAlignment="1" applyProtection="1">
      <protection hidden="1"/>
    </xf>
    <xf numFmtId="0" fontId="0" fillId="0" borderId="38" xfId="0" applyBorder="1" applyAlignment="1" applyProtection="1">
      <protection hidden="1"/>
    </xf>
    <xf numFmtId="0" fontId="0" fillId="0" borderId="39" xfId="0" applyBorder="1" applyAlignment="1" applyProtection="1">
      <protection hidden="1"/>
    </xf>
    <xf numFmtId="49" fontId="1" fillId="0" borderId="28" xfId="0" applyNumberFormat="1" applyFont="1" applyFill="1" applyBorder="1" applyAlignment="1" applyProtection="1">
      <protection hidden="1"/>
    </xf>
    <xf numFmtId="0" fontId="1" fillId="0" borderId="52" xfId="0" applyNumberFormat="1" applyFont="1" applyFill="1" applyBorder="1" applyAlignment="1" applyProtection="1">
      <protection hidden="1"/>
    </xf>
    <xf numFmtId="0" fontId="0" fillId="0" borderId="53" xfId="0" applyBorder="1" applyAlignment="1" applyProtection="1">
      <protection hidden="1"/>
    </xf>
    <xf numFmtId="0" fontId="0" fillId="0" borderId="58" xfId="0" applyBorder="1" applyAlignment="1" applyProtection="1">
      <protection hidden="1"/>
    </xf>
    <xf numFmtId="0" fontId="48" fillId="0" borderId="67" xfId="0" applyFont="1" applyBorder="1" applyProtection="1"/>
    <xf numFmtId="0" fontId="15" fillId="0" borderId="23" xfId="0" quotePrefix="1" applyFont="1" applyBorder="1" applyAlignment="1">
      <alignment horizontal="center"/>
    </xf>
    <xf numFmtId="10" fontId="15" fillId="0" borderId="76" xfId="4" applyNumberFormat="1" applyFont="1" applyBorder="1" applyAlignment="1" applyProtection="1">
      <alignment horizontal="center"/>
    </xf>
    <xf numFmtId="0" fontId="15" fillId="0" borderId="76" xfId="0" applyFont="1" applyBorder="1" applyAlignment="1">
      <alignment horizontal="center"/>
    </xf>
    <xf numFmtId="0" fontId="15" fillId="0" borderId="76" xfId="0" applyFont="1" applyFill="1" applyBorder="1" applyAlignment="1">
      <alignment horizontal="center"/>
    </xf>
    <xf numFmtId="1" fontId="1" fillId="5" borderId="76" xfId="0" applyNumberFormat="1" applyFont="1" applyFill="1" applyBorder="1" applyAlignment="1" applyProtection="1">
      <alignment horizontal="center"/>
    </xf>
    <xf numFmtId="165" fontId="15" fillId="0" borderId="77" xfId="0" applyNumberFormat="1" applyFont="1" applyBorder="1" applyAlignment="1">
      <alignment horizontal="center"/>
    </xf>
    <xf numFmtId="165" fontId="1" fillId="5" borderId="76" xfId="0" applyNumberFormat="1" applyFont="1" applyFill="1" applyBorder="1" applyProtection="1"/>
    <xf numFmtId="165" fontId="1" fillId="5" borderId="34" xfId="0" applyNumberFormat="1" applyFont="1" applyFill="1" applyBorder="1" applyProtection="1"/>
    <xf numFmtId="0" fontId="15" fillId="0" borderId="75" xfId="0" quotePrefix="1" applyFont="1" applyBorder="1" applyAlignment="1">
      <alignment horizontal="center"/>
    </xf>
    <xf numFmtId="10" fontId="15" fillId="0" borderId="27" xfId="4" applyNumberFormat="1" applyFont="1" applyBorder="1" applyAlignment="1" applyProtection="1">
      <alignment horizontal="center"/>
    </xf>
    <xf numFmtId="0" fontId="15" fillId="0" borderId="27" xfId="0" applyFont="1" applyBorder="1" applyAlignment="1">
      <alignment horizontal="center"/>
    </xf>
    <xf numFmtId="0" fontId="15" fillId="0" borderId="27" xfId="0" applyFont="1" applyFill="1" applyBorder="1" applyAlignment="1">
      <alignment horizontal="center"/>
    </xf>
    <xf numFmtId="1" fontId="1" fillId="5" borderId="27" xfId="0" applyNumberFormat="1" applyFont="1" applyFill="1" applyBorder="1" applyAlignment="1" applyProtection="1">
      <alignment horizontal="center"/>
    </xf>
    <xf numFmtId="165" fontId="15" fillId="0" borderId="64" xfId="0" applyNumberFormat="1" applyFont="1" applyBorder="1" applyAlignment="1">
      <alignment horizontal="center"/>
    </xf>
    <xf numFmtId="165" fontId="1" fillId="5" borderId="27" xfId="0" applyNumberFormat="1" applyFont="1" applyFill="1" applyBorder="1" applyProtection="1"/>
    <xf numFmtId="165" fontId="1" fillId="5" borderId="78" xfId="0" applyNumberFormat="1" applyFont="1" applyFill="1" applyBorder="1" applyProtection="1"/>
    <xf numFmtId="165" fontId="15" fillId="0" borderId="25" xfId="0" applyNumberFormat="1" applyFont="1" applyBorder="1" applyAlignment="1">
      <alignment horizontal="center"/>
    </xf>
    <xf numFmtId="166" fontId="1" fillId="0" borderId="2" xfId="0" applyNumberFormat="1" applyFont="1" applyBorder="1" applyAlignment="1" applyProtection="1">
      <alignment horizontal="center"/>
    </xf>
    <xf numFmtId="166" fontId="60" fillId="0" borderId="0" xfId="0" applyNumberFormat="1" applyFont="1" applyFill="1" applyBorder="1" applyAlignment="1" applyProtection="1">
      <alignment horizontal="center" wrapText="1"/>
    </xf>
    <xf numFmtId="0" fontId="61" fillId="0" borderId="0" xfId="0" applyNumberFormat="1" applyFont="1" applyFill="1" applyBorder="1" applyAlignment="1" applyProtection="1">
      <alignment wrapText="1"/>
    </xf>
    <xf numFmtId="0" fontId="60" fillId="0" borderId="0" xfId="0" applyFont="1" applyFill="1" applyBorder="1" applyAlignment="1" applyProtection="1">
      <alignment horizontal="center" wrapText="1"/>
    </xf>
    <xf numFmtId="0" fontId="60" fillId="0" borderId="0" xfId="0" applyFont="1" applyFill="1" applyBorder="1" applyAlignment="1" applyProtection="1">
      <alignment horizontal="center"/>
    </xf>
    <xf numFmtId="0" fontId="60" fillId="0" borderId="0" xfId="0" applyFont="1" applyFill="1" applyBorder="1" applyAlignment="1" applyProtection="1">
      <alignment horizontal="center" vertical="center"/>
    </xf>
    <xf numFmtId="0" fontId="60" fillId="0" borderId="0" xfId="0" applyFont="1" applyFill="1" applyBorder="1" applyAlignment="1" applyProtection="1">
      <alignment horizontal="center" wrapText="1"/>
      <protection locked="0"/>
    </xf>
    <xf numFmtId="180" fontId="60" fillId="0" borderId="0" xfId="0" applyNumberFormat="1" applyFont="1" applyFill="1" applyBorder="1" applyAlignment="1" applyProtection="1">
      <alignment horizontal="center" wrapText="1"/>
    </xf>
    <xf numFmtId="164" fontId="60" fillId="0" borderId="0" xfId="0" applyNumberFormat="1" applyFont="1" applyFill="1" applyBorder="1" applyAlignment="1" applyProtection="1">
      <alignment horizontal="center" vertical="center"/>
    </xf>
    <xf numFmtId="0" fontId="60" fillId="0" borderId="0" xfId="0" quotePrefix="1" applyFont="1" applyFill="1" applyBorder="1"/>
    <xf numFmtId="0" fontId="60" fillId="0" borderId="0" xfId="0" applyFont="1" applyFill="1" applyBorder="1" applyAlignment="1" applyProtection="1">
      <alignment wrapText="1"/>
      <protection locked="0"/>
    </xf>
    <xf numFmtId="0" fontId="60" fillId="0" borderId="0" xfId="0" applyFont="1" applyFill="1" applyBorder="1" applyProtection="1"/>
    <xf numFmtId="164" fontId="60" fillId="0" borderId="0" xfId="0" applyNumberFormat="1" applyFont="1" applyFill="1" applyBorder="1" applyProtection="1"/>
    <xf numFmtId="0" fontId="60" fillId="0" borderId="0" xfId="0" applyNumberFormat="1" applyFont="1" applyFill="1" applyBorder="1" applyProtection="1"/>
    <xf numFmtId="0" fontId="60" fillId="0" borderId="0" xfId="0" applyFont="1" applyFill="1" applyBorder="1"/>
    <xf numFmtId="0" fontId="62" fillId="0" borderId="0" xfId="0" applyFont="1" applyBorder="1" applyProtection="1"/>
    <xf numFmtId="0" fontId="33" fillId="0" borderId="0" xfId="1" applyFont="1" applyBorder="1" applyAlignment="1" applyProtection="1">
      <alignment horizontal="left"/>
    </xf>
    <xf numFmtId="0" fontId="33" fillId="0" borderId="0" xfId="1" applyFont="1" applyBorder="1" applyAlignment="1" applyProtection="1">
      <alignment horizontal="left"/>
    </xf>
    <xf numFmtId="0" fontId="33" fillId="0" borderId="0" xfId="1" applyFont="1" applyBorder="1" applyAlignment="1" applyProtection="1">
      <alignment horizontal="left"/>
    </xf>
    <xf numFmtId="49" fontId="1" fillId="0" borderId="32" xfId="0" applyNumberFormat="1" applyFont="1" applyFill="1" applyBorder="1" applyAlignment="1" applyProtection="1">
      <alignment horizontal="center"/>
    </xf>
    <xf numFmtId="49" fontId="1" fillId="0" borderId="25" xfId="0" applyNumberFormat="1" applyFont="1" applyFill="1" applyBorder="1" applyAlignment="1" applyProtection="1">
      <alignment horizontal="center"/>
    </xf>
    <xf numFmtId="49" fontId="1" fillId="0" borderId="29" xfId="0" applyNumberFormat="1" applyFont="1" applyFill="1" applyBorder="1" applyAlignment="1" applyProtection="1">
      <alignment horizontal="center"/>
    </xf>
    <xf numFmtId="49" fontId="1" fillId="0" borderId="37" xfId="0" applyNumberFormat="1" applyFont="1" applyFill="1" applyBorder="1" applyAlignment="1" applyProtection="1">
      <alignment horizontal="center"/>
    </xf>
    <xf numFmtId="49" fontId="1" fillId="0" borderId="31" xfId="0" applyNumberFormat="1" applyFont="1" applyFill="1" applyBorder="1" applyAlignment="1" applyProtection="1">
      <alignment horizontal="center"/>
    </xf>
    <xf numFmtId="3" fontId="1"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0" xfId="0" applyFont="1" applyFill="1" applyBorder="1" applyAlignment="1" applyProtection="1"/>
    <xf numFmtId="178" fontId="25" fillId="0" borderId="0" xfId="0" applyNumberFormat="1" applyFont="1" applyFill="1" applyBorder="1" applyAlignment="1" applyProtection="1">
      <alignment horizontal="center"/>
    </xf>
    <xf numFmtId="0" fontId="26" fillId="0" borderId="0" xfId="0" applyFont="1" applyFill="1" applyBorder="1" applyAlignment="1" applyProtection="1">
      <alignment horizontal="center"/>
    </xf>
    <xf numFmtId="0" fontId="34" fillId="9" borderId="29" xfId="0" applyFont="1" applyFill="1" applyBorder="1" applyAlignment="1" applyProtection="1">
      <alignment horizontal="center" wrapText="1"/>
      <protection locked="0"/>
    </xf>
    <xf numFmtId="0" fontId="34" fillId="9" borderId="37" xfId="0" applyFont="1" applyFill="1" applyBorder="1" applyAlignment="1" applyProtection="1">
      <alignment horizontal="center" wrapText="1"/>
      <protection locked="0"/>
    </xf>
    <xf numFmtId="0" fontId="34" fillId="9" borderId="40" xfId="0" applyFont="1" applyFill="1" applyBorder="1" applyAlignment="1" applyProtection="1">
      <alignment horizontal="center" wrapText="1"/>
      <protection locked="0"/>
    </xf>
    <xf numFmtId="0" fontId="34" fillId="0" borderId="1" xfId="0" applyFont="1" applyFill="1" applyBorder="1" applyAlignment="1" applyProtection="1">
      <alignment horizontal="center" wrapText="1"/>
      <protection locked="0"/>
    </xf>
    <xf numFmtId="0" fontId="34" fillId="0" borderId="0" xfId="0" applyFont="1" applyFill="1" applyBorder="1" applyAlignment="1" applyProtection="1">
      <alignment horizontal="center" wrapText="1"/>
      <protection locked="0"/>
    </xf>
    <xf numFmtId="0" fontId="48" fillId="12" borderId="24" xfId="0" applyFont="1" applyFill="1" applyBorder="1" applyAlignment="1" applyProtection="1">
      <alignment horizontal="center" vertical="center" wrapText="1"/>
    </xf>
    <xf numFmtId="0" fontId="48" fillId="12" borderId="48" xfId="0" applyFont="1" applyFill="1" applyBorder="1" applyAlignment="1" applyProtection="1">
      <alignment horizontal="center" vertical="center" wrapText="1"/>
    </xf>
    <xf numFmtId="0" fontId="1" fillId="0" borderId="54" xfId="0" applyFont="1" applyBorder="1" applyAlignment="1" applyProtection="1">
      <alignment horizontal="left"/>
    </xf>
    <xf numFmtId="0" fontId="1" fillId="0" borderId="55" xfId="0" applyFont="1" applyBorder="1" applyAlignment="1" applyProtection="1">
      <alignment horizontal="left"/>
    </xf>
    <xf numFmtId="0" fontId="1" fillId="0" borderId="56" xfId="0" applyFont="1" applyBorder="1" applyAlignment="1" applyProtection="1">
      <alignment horizontal="left"/>
    </xf>
    <xf numFmtId="0" fontId="53" fillId="0" borderId="45" xfId="0" applyFont="1" applyFill="1" applyBorder="1" applyAlignment="1" applyProtection="1">
      <alignment horizontal="center"/>
    </xf>
    <xf numFmtId="0" fontId="55" fillId="0" borderId="45" xfId="0" applyFont="1" applyFill="1" applyBorder="1" applyAlignment="1" applyProtection="1">
      <alignment horizontal="center"/>
    </xf>
    <xf numFmtId="0" fontId="52" fillId="0" borderId="62" xfId="0" applyFont="1" applyBorder="1" applyAlignment="1">
      <alignment horizontal="center"/>
    </xf>
    <xf numFmtId="0" fontId="52" fillId="0" borderId="63" xfId="0" applyFont="1" applyBorder="1" applyAlignment="1">
      <alignment horizontal="center"/>
    </xf>
    <xf numFmtId="49" fontId="1" fillId="0" borderId="44" xfId="0" applyNumberFormat="1" applyFont="1" applyFill="1" applyBorder="1" applyAlignment="1" applyProtection="1">
      <alignment horizontal="center"/>
    </xf>
    <xf numFmtId="49" fontId="1" fillId="0" borderId="45" xfId="0" applyNumberFormat="1" applyFont="1" applyFill="1" applyBorder="1" applyAlignment="1" applyProtection="1">
      <alignment horizontal="center"/>
    </xf>
    <xf numFmtId="49" fontId="1" fillId="0" borderId="42" xfId="0" applyNumberFormat="1" applyFont="1" applyFill="1" applyBorder="1" applyAlignment="1" applyProtection="1">
      <alignment horizontal="center"/>
    </xf>
    <xf numFmtId="0" fontId="1" fillId="0" borderId="33" xfId="0" applyFont="1" applyBorder="1" applyAlignment="1" applyProtection="1">
      <alignment horizontal="left"/>
    </xf>
    <xf numFmtId="0" fontId="1" fillId="0" borderId="37" xfId="0" applyFont="1" applyBorder="1" applyAlignment="1" applyProtection="1">
      <alignment horizontal="left"/>
    </xf>
    <xf numFmtId="0" fontId="1" fillId="0" borderId="40" xfId="0" applyFont="1" applyBorder="1" applyAlignment="1" applyProtection="1">
      <alignment horizontal="left"/>
    </xf>
    <xf numFmtId="0" fontId="54" fillId="0" borderId="1" xfId="0" applyFont="1" applyFill="1" applyBorder="1" applyAlignment="1" applyProtection="1">
      <alignment horizontal="center"/>
    </xf>
    <xf numFmtId="0" fontId="54" fillId="0" borderId="0" xfId="0" applyFont="1" applyFill="1" applyBorder="1" applyAlignment="1" applyProtection="1">
      <alignment horizontal="center"/>
    </xf>
    <xf numFmtId="49" fontId="1" fillId="0" borderId="16"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xf>
    <xf numFmtId="49" fontId="1" fillId="0" borderId="10"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center" vertical="center"/>
    </xf>
    <xf numFmtId="49" fontId="1" fillId="0" borderId="64" xfId="0" applyNumberFormat="1" applyFont="1" applyFill="1" applyBorder="1" applyAlignment="1" applyProtection="1">
      <alignment horizontal="center" vertical="center"/>
    </xf>
    <xf numFmtId="49" fontId="1" fillId="0" borderId="45" xfId="0" applyNumberFormat="1" applyFont="1" applyFill="1" applyBorder="1" applyAlignment="1" applyProtection="1">
      <alignment horizontal="center" vertical="center"/>
    </xf>
    <xf numFmtId="49" fontId="1" fillId="0" borderId="42" xfId="0" applyNumberFormat="1" applyFont="1" applyFill="1" applyBorder="1" applyAlignment="1" applyProtection="1">
      <alignment horizontal="center" vertical="center"/>
    </xf>
    <xf numFmtId="0" fontId="47" fillId="0" borderId="45" xfId="0" applyFont="1" applyFill="1" applyBorder="1" applyAlignment="1" applyProtection="1">
      <alignment horizontal="center" vertical="center"/>
    </xf>
    <xf numFmtId="0" fontId="47" fillId="0" borderId="57" xfId="0" applyFont="1" applyFill="1" applyBorder="1" applyAlignment="1" applyProtection="1">
      <alignment horizontal="center" vertical="center"/>
    </xf>
    <xf numFmtId="166" fontId="1" fillId="0" borderId="33" xfId="0" applyNumberFormat="1" applyFont="1" applyBorder="1" applyAlignment="1" applyProtection="1">
      <alignment horizontal="left"/>
    </xf>
    <xf numFmtId="166" fontId="1" fillId="0" borderId="37" xfId="0" applyNumberFormat="1" applyFont="1" applyBorder="1" applyAlignment="1" applyProtection="1">
      <alignment horizontal="left"/>
    </xf>
    <xf numFmtId="166" fontId="1" fillId="0" borderId="40" xfId="0" applyNumberFormat="1" applyFont="1" applyBorder="1" applyAlignment="1" applyProtection="1">
      <alignment horizontal="left"/>
    </xf>
    <xf numFmtId="0" fontId="52" fillId="0" borderId="29" xfId="0" applyNumberFormat="1" applyFont="1" applyFill="1" applyBorder="1" applyAlignment="1" applyProtection="1">
      <alignment horizontal="center"/>
    </xf>
    <xf numFmtId="0" fontId="52" fillId="0" borderId="37" xfId="0" applyNumberFormat="1" applyFont="1" applyFill="1" applyBorder="1" applyAlignment="1" applyProtection="1">
      <alignment horizontal="center"/>
    </xf>
    <xf numFmtId="0" fontId="52" fillId="0" borderId="31" xfId="0" applyNumberFormat="1" applyFont="1" applyFill="1" applyBorder="1" applyAlignment="1" applyProtection="1">
      <alignment horizontal="center"/>
    </xf>
    <xf numFmtId="0" fontId="1" fillId="0" borderId="29" xfId="0" applyNumberFormat="1" applyFont="1" applyFill="1" applyBorder="1" applyAlignment="1" applyProtection="1">
      <alignment horizontal="center"/>
    </xf>
    <xf numFmtId="0" fontId="1" fillId="0" borderId="37" xfId="0" applyNumberFormat="1" applyFont="1" applyFill="1" applyBorder="1" applyAlignment="1" applyProtection="1">
      <alignment horizontal="center"/>
    </xf>
    <xf numFmtId="0" fontId="1" fillId="0" borderId="31" xfId="0" applyNumberFormat="1" applyFont="1" applyFill="1" applyBorder="1" applyAlignment="1" applyProtection="1">
      <alignment horizontal="center"/>
    </xf>
    <xf numFmtId="0" fontId="51" fillId="0" borderId="0" xfId="0" applyFont="1" applyAlignment="1" applyProtection="1">
      <alignment horizontal="center"/>
    </xf>
    <xf numFmtId="0" fontId="34" fillId="9" borderId="1" xfId="0" applyFont="1" applyFill="1" applyBorder="1" applyAlignment="1" applyProtection="1">
      <alignment horizontal="center" wrapText="1"/>
      <protection locked="0"/>
    </xf>
    <xf numFmtId="0" fontId="34" fillId="9" borderId="0" xfId="0" applyFont="1" applyFill="1" applyBorder="1" applyAlignment="1" applyProtection="1">
      <alignment horizontal="center" wrapText="1"/>
      <protection locked="0"/>
    </xf>
    <xf numFmtId="0" fontId="34" fillId="9" borderId="2" xfId="0" applyFont="1" applyFill="1" applyBorder="1" applyAlignment="1" applyProtection="1">
      <alignment horizontal="center" wrapText="1"/>
      <protection locked="0"/>
    </xf>
    <xf numFmtId="0" fontId="1" fillId="0" borderId="0" xfId="0" applyFont="1" applyFill="1" applyBorder="1" applyAlignment="1" applyProtection="1">
      <alignment horizontal="left" wrapText="1"/>
    </xf>
    <xf numFmtId="0" fontId="34" fillId="9" borderId="44" xfId="0" applyFont="1" applyFill="1" applyBorder="1" applyAlignment="1" applyProtection="1">
      <alignment horizontal="center" wrapText="1"/>
      <protection locked="0"/>
    </xf>
    <xf numFmtId="0" fontId="34" fillId="9" borderId="45" xfId="0" applyFont="1" applyFill="1" applyBorder="1" applyAlignment="1" applyProtection="1">
      <alignment horizontal="center" wrapText="1"/>
      <protection locked="0"/>
    </xf>
    <xf numFmtId="0" fontId="34" fillId="9" borderId="57" xfId="0" applyFont="1" applyFill="1" applyBorder="1" applyAlignment="1" applyProtection="1">
      <alignment horizontal="center" wrapText="1"/>
      <protection locked="0"/>
    </xf>
    <xf numFmtId="0" fontId="30" fillId="0" borderId="0" xfId="0" applyFont="1" applyBorder="1" applyAlignment="1" applyProtection="1">
      <alignment horizontal="center"/>
    </xf>
    <xf numFmtId="0" fontId="34" fillId="9" borderId="52" xfId="0" applyFont="1" applyFill="1" applyBorder="1" applyAlignment="1" applyProtection="1">
      <alignment horizontal="center" wrapText="1"/>
      <protection locked="0"/>
    </xf>
    <xf numFmtId="0" fontId="34" fillId="9" borderId="53" xfId="0" applyFont="1" applyFill="1" applyBorder="1" applyAlignment="1" applyProtection="1">
      <alignment horizontal="center" wrapText="1"/>
      <protection locked="0"/>
    </xf>
    <xf numFmtId="0" fontId="34" fillId="9" borderId="58" xfId="0" applyFont="1" applyFill="1" applyBorder="1" applyAlignment="1" applyProtection="1">
      <alignment horizontal="center" wrapText="1"/>
      <protection locked="0"/>
    </xf>
    <xf numFmtId="0" fontId="42" fillId="10" borderId="59" xfId="0" applyFont="1" applyFill="1" applyBorder="1" applyAlignment="1" applyProtection="1">
      <alignment horizontal="center" wrapText="1"/>
    </xf>
    <xf numFmtId="0" fontId="42" fillId="10" borderId="60" xfId="0" applyFont="1" applyFill="1" applyBorder="1" applyAlignment="1" applyProtection="1">
      <alignment horizontal="center"/>
    </xf>
    <xf numFmtId="0" fontId="51" fillId="0" borderId="0" xfId="0" applyFont="1" applyFill="1" applyBorder="1" applyAlignment="1" applyProtection="1">
      <alignment horizontal="left" wrapText="1"/>
    </xf>
    <xf numFmtId="0" fontId="48" fillId="12" borderId="26" xfId="0" applyFont="1" applyFill="1" applyBorder="1" applyAlignment="1" applyProtection="1">
      <alignment horizontal="center"/>
    </xf>
    <xf numFmtId="0" fontId="48" fillId="12" borderId="39" xfId="0" applyFont="1" applyFill="1" applyBorder="1" applyAlignment="1" applyProtection="1">
      <alignment horizontal="center"/>
    </xf>
    <xf numFmtId="0" fontId="48" fillId="12" borderId="79" xfId="0" applyFont="1" applyFill="1" applyBorder="1" applyAlignment="1" applyProtection="1">
      <alignment horizontal="center" vertical="center"/>
    </xf>
    <xf numFmtId="0" fontId="48" fillId="12" borderId="49" xfId="0" applyFont="1" applyFill="1" applyBorder="1" applyAlignment="1" applyProtection="1">
      <alignment horizontal="center" vertical="center"/>
    </xf>
    <xf numFmtId="0" fontId="42" fillId="10" borderId="43" xfId="0" applyNumberFormat="1" applyFont="1" applyFill="1" applyBorder="1" applyAlignment="1" applyProtection="1">
      <alignment horizontal="center" vertical="center" wrapText="1"/>
    </xf>
    <xf numFmtId="0" fontId="42" fillId="10" borderId="6" xfId="0" applyNumberFormat="1" applyFont="1" applyFill="1" applyBorder="1" applyAlignment="1" applyProtection="1">
      <alignment horizontal="center" vertical="center" wrapText="1"/>
    </xf>
    <xf numFmtId="0" fontId="42" fillId="10" borderId="13" xfId="0" applyNumberFormat="1" applyFont="1" applyFill="1" applyBorder="1" applyAlignment="1" applyProtection="1">
      <alignment horizontal="center" vertical="center" wrapText="1"/>
    </xf>
    <xf numFmtId="0" fontId="42" fillId="10" borderId="1" xfId="0" applyNumberFormat="1" applyFont="1" applyFill="1" applyBorder="1" applyAlignment="1" applyProtection="1">
      <alignment horizontal="center" vertical="center" wrapText="1"/>
    </xf>
    <xf numFmtId="0" fontId="42" fillId="10" borderId="0" xfId="0" applyNumberFormat="1" applyFont="1" applyFill="1" applyBorder="1" applyAlignment="1" applyProtection="1">
      <alignment horizontal="center" vertical="center" wrapText="1"/>
    </xf>
    <xf numFmtId="0" fontId="42" fillId="10" borderId="2" xfId="0" applyNumberFormat="1" applyFont="1" applyFill="1" applyBorder="1" applyAlignment="1" applyProtection="1">
      <alignment horizontal="center" vertical="center" wrapText="1"/>
    </xf>
    <xf numFmtId="0" fontId="42" fillId="10" borderId="49" xfId="0" applyNumberFormat="1" applyFont="1" applyFill="1" applyBorder="1" applyAlignment="1" applyProtection="1">
      <alignment horizontal="center" vertical="center" wrapText="1"/>
    </xf>
    <xf numFmtId="0" fontId="42" fillId="10" borderId="47" xfId="0" applyNumberFormat="1" applyFont="1" applyFill="1" applyBorder="1" applyAlignment="1" applyProtection="1">
      <alignment horizontal="center" vertical="center" wrapText="1"/>
    </xf>
    <xf numFmtId="0" fontId="42" fillId="10" borderId="48" xfId="0" applyNumberFormat="1" applyFont="1" applyFill="1" applyBorder="1" applyAlignment="1" applyProtection="1">
      <alignment horizontal="center" vertical="center" wrapText="1"/>
    </xf>
    <xf numFmtId="0" fontId="42" fillId="10" borderId="43" xfId="0" applyFont="1" applyFill="1" applyBorder="1" applyAlignment="1" applyProtection="1">
      <alignment horizontal="center" vertical="center" wrapText="1"/>
    </xf>
    <xf numFmtId="0" fontId="42" fillId="10" borderId="6" xfId="0" applyFont="1" applyFill="1" applyBorder="1" applyAlignment="1" applyProtection="1">
      <alignment horizontal="center" vertical="center" wrapText="1"/>
    </xf>
    <xf numFmtId="0" fontId="42" fillId="10" borderId="13" xfId="0" applyFont="1" applyFill="1" applyBorder="1" applyAlignment="1" applyProtection="1">
      <alignment horizontal="center" vertical="center" wrapText="1"/>
    </xf>
    <xf numFmtId="0" fontId="42" fillId="10" borderId="1" xfId="0" applyFont="1" applyFill="1" applyBorder="1" applyAlignment="1" applyProtection="1">
      <alignment horizontal="center" vertical="center" wrapText="1"/>
    </xf>
    <xf numFmtId="0" fontId="42" fillId="10" borderId="0" xfId="0" applyFont="1" applyFill="1" applyBorder="1" applyAlignment="1" applyProtection="1">
      <alignment horizontal="center" vertical="center" wrapText="1"/>
    </xf>
    <xf numFmtId="0" fontId="42" fillId="10" borderId="2" xfId="0" applyFont="1" applyFill="1" applyBorder="1" applyAlignment="1" applyProtection="1">
      <alignment horizontal="center" vertical="center" wrapText="1"/>
    </xf>
    <xf numFmtId="0" fontId="42" fillId="10" borderId="49" xfId="0" applyFont="1" applyFill="1" applyBorder="1" applyAlignment="1" applyProtection="1">
      <alignment horizontal="center" vertical="center" wrapText="1"/>
    </xf>
    <xf numFmtId="0" fontId="42" fillId="10" borderId="47" xfId="0" applyFont="1" applyFill="1" applyBorder="1" applyAlignment="1" applyProtection="1">
      <alignment horizontal="center" vertical="center" wrapText="1"/>
    </xf>
    <xf numFmtId="0" fontId="42" fillId="10" borderId="48" xfId="0" applyFont="1" applyFill="1" applyBorder="1" applyAlignment="1" applyProtection="1">
      <alignment horizontal="center" vertical="center" wrapText="1"/>
    </xf>
    <xf numFmtId="0" fontId="43" fillId="0" borderId="0" xfId="0" applyFont="1" applyFill="1" applyAlignment="1" applyProtection="1">
      <alignment horizontal="center" vertical="center"/>
    </xf>
    <xf numFmtId="0" fontId="20" fillId="0" borderId="0" xfId="0" applyFont="1" applyFill="1" applyBorder="1" applyAlignment="1" applyProtection="1">
      <alignment horizontal="center"/>
    </xf>
    <xf numFmtId="166" fontId="1" fillId="0" borderId="33" xfId="0" applyNumberFormat="1" applyFont="1" applyFill="1" applyBorder="1" applyAlignment="1" applyProtection="1">
      <alignment horizontal="left"/>
    </xf>
    <xf numFmtId="166" fontId="1" fillId="0" borderId="37" xfId="0" applyNumberFormat="1" applyFont="1" applyFill="1" applyBorder="1" applyAlignment="1" applyProtection="1">
      <alignment horizontal="left"/>
    </xf>
    <xf numFmtId="166" fontId="1" fillId="0" borderId="40" xfId="0" applyNumberFormat="1" applyFont="1" applyFill="1" applyBorder="1" applyAlignment="1" applyProtection="1">
      <alignment horizontal="left"/>
    </xf>
    <xf numFmtId="0" fontId="1" fillId="0" borderId="36" xfId="0" applyFont="1" applyBorder="1" applyAlignment="1" applyProtection="1">
      <alignment horizontal="left"/>
    </xf>
    <xf numFmtId="0" fontId="1" fillId="0" borderId="53" xfId="0" applyFont="1" applyBorder="1" applyAlignment="1" applyProtection="1">
      <alignment horizontal="left"/>
    </xf>
    <xf numFmtId="0" fontId="1" fillId="0" borderId="58" xfId="0" applyFont="1" applyBorder="1" applyAlignment="1" applyProtection="1">
      <alignment horizontal="left"/>
    </xf>
    <xf numFmtId="0" fontId="1" fillId="0" borderId="0" xfId="0" applyFont="1" applyBorder="1" applyAlignment="1" applyProtection="1">
      <alignment horizontal="left"/>
    </xf>
    <xf numFmtId="49" fontId="1" fillId="0" borderId="0" xfId="0" applyNumberFormat="1" applyFont="1" applyFill="1" applyBorder="1" applyAlignment="1" applyProtection="1">
      <alignment horizontal="center"/>
    </xf>
    <xf numFmtId="49" fontId="1" fillId="0" borderId="22" xfId="0" applyNumberFormat="1" applyFont="1" applyFill="1" applyBorder="1" applyAlignment="1" applyProtection="1">
      <alignment horizontal="center"/>
    </xf>
    <xf numFmtId="49" fontId="1" fillId="0" borderId="35" xfId="0" applyNumberFormat="1" applyFont="1" applyFill="1" applyBorder="1" applyAlignment="1" applyProtection="1">
      <alignment horizontal="center"/>
    </xf>
    <xf numFmtId="0" fontId="56" fillId="8" borderId="0" xfId="0" applyFont="1" applyFill="1" applyBorder="1" applyAlignment="1" applyProtection="1">
      <alignment horizontal="center"/>
      <protection hidden="1"/>
    </xf>
    <xf numFmtId="0" fontId="56" fillId="8" borderId="5" xfId="0" applyFont="1" applyFill="1" applyBorder="1" applyAlignment="1" applyProtection="1">
      <alignment horizontal="center"/>
      <protection hidden="1"/>
    </xf>
    <xf numFmtId="166" fontId="39" fillId="8" borderId="43" xfId="0" applyNumberFormat="1" applyFont="1" applyFill="1" applyBorder="1" applyAlignment="1" applyProtection="1">
      <alignment horizontal="center" vertical="center"/>
      <protection locked="0"/>
    </xf>
    <xf numFmtId="166" fontId="39" fillId="8" borderId="6" xfId="0" applyNumberFormat="1" applyFont="1" applyFill="1" applyBorder="1" applyAlignment="1" applyProtection="1">
      <alignment horizontal="center" vertical="center"/>
      <protection locked="0"/>
    </xf>
    <xf numFmtId="166" fontId="39" fillId="8" borderId="13" xfId="0" applyNumberFormat="1" applyFont="1" applyFill="1" applyBorder="1" applyAlignment="1" applyProtection="1">
      <alignment horizontal="center" vertical="center"/>
      <protection locked="0"/>
    </xf>
    <xf numFmtId="166" fontId="39" fillId="8" borderId="1" xfId="0" applyNumberFormat="1" applyFont="1" applyFill="1" applyBorder="1" applyAlignment="1" applyProtection="1">
      <alignment horizontal="center" vertical="center"/>
      <protection locked="0"/>
    </xf>
    <xf numFmtId="166" fontId="39" fillId="8" borderId="0" xfId="0" applyNumberFormat="1" applyFont="1" applyFill="1" applyBorder="1" applyAlignment="1" applyProtection="1">
      <alignment horizontal="center" vertical="center"/>
      <protection locked="0"/>
    </xf>
    <xf numFmtId="166" fontId="39" fillId="8" borderId="2" xfId="0" applyNumberFormat="1" applyFont="1" applyFill="1" applyBorder="1" applyAlignment="1" applyProtection="1">
      <alignment horizontal="center" vertical="center"/>
      <protection locked="0"/>
    </xf>
    <xf numFmtId="0" fontId="11" fillId="5" borderId="1" xfId="0" applyFont="1" applyFill="1" applyBorder="1" applyAlignment="1" applyProtection="1">
      <alignment horizontal="center"/>
    </xf>
    <xf numFmtId="0" fontId="11" fillId="5" borderId="0" xfId="0" applyFont="1" applyFill="1" applyBorder="1" applyAlignment="1" applyProtection="1">
      <alignment horizontal="center"/>
    </xf>
    <xf numFmtId="0" fontId="11" fillId="5" borderId="2" xfId="0" applyFont="1" applyFill="1" applyBorder="1" applyAlignment="1" applyProtection="1">
      <alignment horizontal="center"/>
    </xf>
    <xf numFmtId="0" fontId="48" fillId="0" borderId="26" xfId="0" applyFont="1" applyBorder="1" applyAlignment="1" applyProtection="1">
      <alignment horizontal="center"/>
    </xf>
    <xf numFmtId="0" fontId="48" fillId="0" borderId="38" xfId="0" applyFont="1" applyBorder="1" applyAlignment="1" applyProtection="1">
      <alignment horizontal="center"/>
    </xf>
    <xf numFmtId="0" fontId="48" fillId="0" borderId="68" xfId="0" applyFont="1" applyBorder="1" applyAlignment="1" applyProtection="1">
      <alignment horizontal="center"/>
    </xf>
    <xf numFmtId="0" fontId="40" fillId="8" borderId="43" xfId="0" applyFont="1" applyFill="1" applyBorder="1" applyAlignment="1" applyProtection="1">
      <alignment horizontal="center"/>
      <protection hidden="1"/>
    </xf>
    <xf numFmtId="0" fontId="40" fillId="8" borderId="6" xfId="0" applyFont="1" applyFill="1" applyBorder="1" applyAlignment="1" applyProtection="1">
      <alignment horizontal="center"/>
      <protection hidden="1"/>
    </xf>
    <xf numFmtId="0" fontId="40" fillId="8" borderId="13" xfId="0" applyFont="1" applyFill="1" applyBorder="1" applyAlignment="1" applyProtection="1">
      <alignment horizontal="center"/>
      <protection hidden="1"/>
    </xf>
    <xf numFmtId="0" fontId="40" fillId="8" borderId="44" xfId="0" applyFont="1" applyFill="1" applyBorder="1" applyAlignment="1" applyProtection="1">
      <alignment horizontal="center"/>
      <protection hidden="1"/>
    </xf>
    <xf numFmtId="0" fontId="40" fillId="8" borderId="45" xfId="0" applyFont="1" applyFill="1" applyBorder="1" applyAlignment="1" applyProtection="1">
      <alignment horizontal="center"/>
      <protection hidden="1"/>
    </xf>
    <xf numFmtId="0" fontId="40" fillId="8" borderId="57" xfId="0" applyFont="1" applyFill="1" applyBorder="1" applyAlignment="1" applyProtection="1">
      <alignment horizontal="center"/>
      <protection hidden="1"/>
    </xf>
    <xf numFmtId="0" fontId="1" fillId="8" borderId="26" xfId="0" applyFont="1" applyFill="1" applyBorder="1" applyAlignment="1" applyProtection="1">
      <alignment horizontal="center"/>
      <protection hidden="1"/>
    </xf>
    <xf numFmtId="0" fontId="1" fillId="8" borderId="39" xfId="0" applyFont="1" applyFill="1" applyBorder="1" applyAlignment="1" applyProtection="1">
      <alignment horizontal="center"/>
      <protection hidden="1"/>
    </xf>
    <xf numFmtId="0" fontId="1" fillId="6" borderId="26" xfId="0" applyFont="1" applyFill="1" applyBorder="1" applyAlignment="1" applyProtection="1">
      <alignment horizontal="center"/>
      <protection hidden="1"/>
    </xf>
    <xf numFmtId="0" fontId="1" fillId="6" borderId="39" xfId="0" applyFont="1" applyFill="1" applyBorder="1" applyAlignment="1" applyProtection="1">
      <alignment horizontal="center"/>
      <protection hidden="1"/>
    </xf>
    <xf numFmtId="0" fontId="1" fillId="8" borderId="0" xfId="0" applyFont="1" applyFill="1" applyBorder="1" applyAlignment="1" applyProtection="1">
      <alignment horizontal="center" wrapText="1"/>
      <protection hidden="1"/>
    </xf>
    <xf numFmtId="0" fontId="1" fillId="0" borderId="0" xfId="0" applyFont="1" applyFill="1" applyBorder="1" applyAlignment="1" applyProtection="1">
      <alignment horizontal="left"/>
    </xf>
    <xf numFmtId="0" fontId="1" fillId="8" borderId="0" xfId="0" applyFont="1" applyFill="1" applyBorder="1" applyAlignment="1" applyProtection="1">
      <alignment horizontal="center"/>
      <protection hidden="1"/>
    </xf>
    <xf numFmtId="0" fontId="1" fillId="8" borderId="5" xfId="0" applyFont="1" applyFill="1" applyBorder="1" applyAlignment="1" applyProtection="1">
      <alignment horizontal="center"/>
      <protection hidden="1"/>
    </xf>
    <xf numFmtId="0" fontId="37" fillId="0" borderId="0" xfId="0" applyFont="1" applyBorder="1" applyAlignment="1" applyProtection="1">
      <alignment horizontal="center"/>
    </xf>
    <xf numFmtId="0" fontId="52" fillId="0" borderId="59" xfId="3" applyFont="1" applyFill="1" applyBorder="1" applyAlignment="1">
      <alignment horizontal="center" vertical="center"/>
    </xf>
    <xf numFmtId="0" fontId="52" fillId="0" borderId="60" xfId="3" applyFont="1" applyFill="1" applyBorder="1" applyAlignment="1">
      <alignment horizontal="center" vertical="center"/>
    </xf>
    <xf numFmtId="0" fontId="52" fillId="0" borderId="43" xfId="3" applyFont="1" applyFill="1" applyBorder="1" applyAlignment="1">
      <alignment horizontal="center"/>
    </xf>
    <xf numFmtId="0" fontId="52" fillId="0" borderId="6" xfId="3" applyFont="1" applyFill="1" applyBorder="1" applyAlignment="1">
      <alignment horizontal="center"/>
    </xf>
    <xf numFmtId="0" fontId="52" fillId="0" borderId="13" xfId="3" applyFont="1" applyFill="1" applyBorder="1" applyAlignment="1">
      <alignment horizontal="center"/>
    </xf>
    <xf numFmtId="0" fontId="52" fillId="0" borderId="61" xfId="3" applyFont="1" applyFill="1" applyBorder="1" applyAlignment="1">
      <alignment horizontal="center" vertical="center"/>
    </xf>
    <xf numFmtId="0" fontId="63" fillId="0" borderId="0" xfId="0" applyFont="1" applyBorder="1" applyProtection="1"/>
    <xf numFmtId="0" fontId="34" fillId="9" borderId="0" xfId="0" applyFont="1" applyFill="1" applyBorder="1" applyAlignment="1" applyProtection="1">
      <alignment horizontal="center"/>
      <protection locked="0"/>
    </xf>
  </cellXfs>
  <cellStyles count="5">
    <cellStyle name="Hyperlink" xfId="1" builtinId="8"/>
    <cellStyle name="Hyperlink 2" xfId="2" xr:uid="{00000000-0005-0000-0000-000001000000}"/>
    <cellStyle name="Normal" xfId="0" builtinId="0"/>
    <cellStyle name="Normal 2" xfId="3" xr:uid="{00000000-0005-0000-0000-000003000000}"/>
    <cellStyle name="Percent" xfId="4" builtinId="5"/>
  </cellStyles>
  <dxfs count="10">
    <dxf>
      <font>
        <color rgb="FFFF0000"/>
      </font>
      <fill>
        <patternFill>
          <bgColor theme="0"/>
        </patternFill>
      </fill>
    </dxf>
    <dxf>
      <font>
        <condense val="0"/>
        <extend val="0"/>
        <color indexed="57"/>
      </font>
    </dxf>
    <dxf>
      <font>
        <condense val="0"/>
        <extend val="0"/>
        <color indexed="10"/>
      </font>
    </dxf>
    <dxf>
      <font>
        <condense val="0"/>
        <extend val="0"/>
        <color indexed="57"/>
      </font>
    </dxf>
    <dxf>
      <font>
        <condense val="0"/>
        <extend val="0"/>
        <color indexed="10"/>
      </font>
    </dxf>
    <dxf>
      <font>
        <b val="0"/>
        <i val="0"/>
        <condense val="0"/>
        <extend val="0"/>
      </font>
      <fill>
        <patternFill>
          <bgColor indexed="13"/>
        </patternFill>
      </fill>
    </dxf>
    <dxf>
      <font>
        <condense val="0"/>
        <extend val="0"/>
        <color auto="1"/>
      </font>
      <fill>
        <patternFill>
          <bgColor indexed="55"/>
        </patternFill>
      </fill>
    </dxf>
    <dxf>
      <font>
        <b/>
        <i val="0"/>
        <color indexed="51"/>
        <name val="Cambria"/>
        <scheme val="none"/>
      </font>
      <fill>
        <patternFill patternType="none">
          <bgColor indexed="65"/>
        </patternFill>
      </fill>
    </dxf>
    <dxf>
      <font>
        <b/>
        <i val="0"/>
        <condense val="0"/>
        <extend val="0"/>
        <color indexed="17"/>
      </font>
      <fill>
        <patternFill patternType="none">
          <bgColor indexed="65"/>
        </patternFill>
      </fill>
    </dxf>
    <dxf>
      <font>
        <b/>
        <i val="0"/>
        <condense val="0"/>
        <extend val="0"/>
        <color indexed="12"/>
      </font>
      <fill>
        <patternFill patternType="none">
          <bgColor indexed="65"/>
        </patternFill>
      </fill>
    </dxf>
  </dxfs>
  <tableStyles count="0" defaultTableStyle="TableStyleMedium9" defaultPivotStyle="PivotStyleLight16"/>
  <colors>
    <mruColors>
      <color rgb="FF2361AD"/>
      <color rgb="FF2F5FF9"/>
      <color rgb="FF3997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419100</xdr:colOff>
      <xdr:row>0</xdr:row>
      <xdr:rowOff>93008</xdr:rowOff>
    </xdr:from>
    <xdr:to>
      <xdr:col>14</xdr:col>
      <xdr:colOff>481853</xdr:colOff>
      <xdr:row>2</xdr:row>
      <xdr:rowOff>83483</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9439835" y="93008"/>
          <a:ext cx="3155577" cy="315446"/>
        </a:xfrm>
        <a:prstGeom prst="rect">
          <a:avLst/>
        </a:prstGeom>
        <a:solidFill>
          <a:srgbClr val="2361AD"/>
        </a:solidFill>
        <a:ln w="9525">
          <a:noFill/>
          <a:miter lim="800000"/>
          <a:headEnd/>
          <a:tailEnd/>
        </a:ln>
      </xdr:spPr>
      <xdr:txBody>
        <a:bodyPr vertOverflow="clip" wrap="square" lIns="36576" tIns="27432" rIns="0" bIns="0" anchor="t" upright="1"/>
        <a:lstStyle/>
        <a:p>
          <a:pPr algn="l" rtl="0">
            <a:defRPr sz="1000"/>
          </a:pPr>
          <a:r>
            <a:rPr lang="en-AU" sz="1600" b="1" i="0" u="none" strike="noStrike" baseline="0">
              <a:solidFill>
                <a:srgbClr val="FFFFFF"/>
              </a:solidFill>
              <a:latin typeface="Agency FB"/>
            </a:rPr>
            <a:t>  Department of Agriculture and Fisheries </a:t>
          </a:r>
        </a:p>
      </xdr:txBody>
    </xdr:sp>
    <xdr:clientData/>
  </xdr:twoCellAnchor>
  <xdr:twoCellAnchor editAs="oneCell">
    <xdr:from>
      <xdr:col>0</xdr:col>
      <xdr:colOff>564296</xdr:colOff>
      <xdr:row>45</xdr:row>
      <xdr:rowOff>26723</xdr:rowOff>
    </xdr:from>
    <xdr:to>
      <xdr:col>5</xdr:col>
      <xdr:colOff>1561619</xdr:colOff>
      <xdr:row>51</xdr:row>
      <xdr:rowOff>131829</xdr:rowOff>
    </xdr:to>
    <xdr:pic>
      <xdr:nvPicPr>
        <xdr:cNvPr id="5" name="Picture 4" descr="Image result for agrifutures australi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296" y="12655752"/>
          <a:ext cx="4800120" cy="1046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358586</xdr:colOff>
      <xdr:row>41</xdr:row>
      <xdr:rowOff>280147</xdr:rowOff>
    </xdr:from>
    <xdr:to>
      <xdr:col>14</xdr:col>
      <xdr:colOff>1568823</xdr:colOff>
      <xdr:row>51</xdr:row>
      <xdr:rowOff>148887</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7255" t="89675" r="4588" b="3115"/>
        <a:stretch/>
      </xdr:blipFill>
      <xdr:spPr bwMode="auto">
        <a:xfrm>
          <a:off x="12472145" y="9401735"/>
          <a:ext cx="1210237" cy="1703293"/>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1483177</xdr:colOff>
      <xdr:row>51</xdr:row>
      <xdr:rowOff>40821</xdr:rowOff>
    </xdr:from>
    <xdr:to>
      <xdr:col>7</xdr:col>
      <xdr:colOff>598713</xdr:colOff>
      <xdr:row>55</xdr:row>
      <xdr:rowOff>40820</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9075963" y="12205607"/>
          <a:ext cx="2299607" cy="816427"/>
        </a:xfrm>
        <a:prstGeom prst="rightArrow">
          <a:avLst/>
        </a:prstGeom>
        <a:solidFill>
          <a:schemeClr val="tx2">
            <a:lumMod val="60000"/>
            <a:lumOff val="4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435428</xdr:colOff>
      <xdr:row>51</xdr:row>
      <xdr:rowOff>163285</xdr:rowOff>
    </xdr:from>
    <xdr:to>
      <xdr:col>5</xdr:col>
      <xdr:colOff>938893</xdr:colOff>
      <xdr:row>55</xdr:row>
      <xdr:rowOff>68036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742214" y="12328071"/>
          <a:ext cx="2789465" cy="721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a:t>Scroll right for detailed performance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grifutures.com.au/product/variable-speed-exhaust-fans-for-meat-chicken-sheds/" TargetMode="External"/><Relationship Id="rId1" Type="http://schemas.openxmlformats.org/officeDocument/2006/relationships/hyperlink" Target="http://www.agrifutures.com.au/publications/reducing-costs-and-energy-by-replacing-inefficient-ventilation-fan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showGridLines="0" showRowColHeaders="0" tabSelected="1" zoomScale="120" zoomScaleNormal="120" workbookViewId="0">
      <pane ySplit="3" topLeftCell="A4" activePane="bottomLeft" state="frozen"/>
      <selection pane="bottomLeft" activeCell="D10" sqref="D10"/>
    </sheetView>
  </sheetViews>
  <sheetFormatPr defaultColWidth="9.140625" defaultRowHeight="12.75" x14ac:dyDescent="0.2"/>
  <cols>
    <col min="1" max="2" width="9.140625" style="92"/>
    <col min="3" max="3" width="10.140625" style="92" customWidth="1"/>
    <col min="4" max="4" width="16" style="92" customWidth="1"/>
    <col min="5" max="5" width="12.5703125" style="92" customWidth="1"/>
    <col min="6" max="6" width="32.28515625" style="92" customWidth="1"/>
    <col min="7" max="7" width="9.140625" style="92"/>
    <col min="8" max="8" width="14.140625" style="92" customWidth="1"/>
    <col min="9" max="9" width="8.5703125" style="92" customWidth="1"/>
    <col min="10" max="10" width="10" style="92" customWidth="1"/>
    <col min="11" max="14" width="9.140625" style="92"/>
    <col min="15" max="15" width="26.42578125" style="92" customWidth="1"/>
    <col min="16" max="16384" width="9.140625" style="92"/>
  </cols>
  <sheetData>
    <row r="1" spans="1:15" s="311" customFormat="1" ht="13.5" customHeight="1" x14ac:dyDescent="0.2">
      <c r="A1" s="314"/>
      <c r="B1" s="315"/>
      <c r="C1" s="315"/>
      <c r="D1" s="315"/>
      <c r="E1" s="315"/>
      <c r="F1" s="315"/>
      <c r="G1" s="315"/>
      <c r="H1" s="315"/>
      <c r="I1" s="315"/>
      <c r="J1" s="315"/>
      <c r="K1" s="315"/>
      <c r="L1" s="315"/>
      <c r="M1" s="315"/>
      <c r="N1" s="315"/>
      <c r="O1" s="316"/>
    </row>
    <row r="2" spans="1:15" x14ac:dyDescent="0.2">
      <c r="A2" s="143"/>
      <c r="B2" s="144"/>
      <c r="C2" s="144"/>
      <c r="D2" s="144"/>
      <c r="E2" s="144"/>
      <c r="F2" s="144"/>
      <c r="G2" s="144"/>
      <c r="H2" s="144"/>
      <c r="I2" s="144"/>
      <c r="J2" s="144"/>
      <c r="K2" s="144"/>
      <c r="L2" s="144"/>
      <c r="M2" s="144"/>
      <c r="N2" s="144"/>
      <c r="O2" s="145"/>
    </row>
    <row r="3" spans="1:15" s="311" customFormat="1" ht="13.5" customHeight="1" x14ac:dyDescent="0.2">
      <c r="A3" s="317"/>
      <c r="B3" s="318"/>
      <c r="C3" s="318"/>
      <c r="D3" s="318"/>
      <c r="E3" s="318"/>
      <c r="F3" s="318"/>
      <c r="G3" s="318"/>
      <c r="H3" s="318"/>
      <c r="I3" s="318"/>
      <c r="J3" s="318"/>
      <c r="K3" s="318"/>
      <c r="L3" s="318"/>
      <c r="M3" s="318"/>
      <c r="N3" s="318"/>
      <c r="O3" s="319"/>
    </row>
    <row r="4" spans="1:15" ht="37.5" x14ac:dyDescent="0.5">
      <c r="A4" s="146"/>
      <c r="B4" s="639" t="s">
        <v>116</v>
      </c>
      <c r="C4" s="144"/>
      <c r="D4" s="144"/>
      <c r="E4" s="144"/>
      <c r="F4" s="144"/>
      <c r="G4" s="144"/>
      <c r="H4" s="144"/>
      <c r="I4" s="144"/>
      <c r="J4" s="144"/>
      <c r="K4" s="144"/>
      <c r="L4" s="144"/>
      <c r="M4" s="144"/>
      <c r="N4" s="144"/>
      <c r="O4" s="145"/>
    </row>
    <row r="5" spans="1:15" x14ac:dyDescent="0.2">
      <c r="A5" s="143"/>
      <c r="B5" s="144"/>
      <c r="C5" s="144"/>
      <c r="D5" s="144"/>
      <c r="E5" s="144"/>
      <c r="F5" s="144"/>
      <c r="G5" s="144"/>
      <c r="H5" s="144"/>
      <c r="I5" s="144"/>
      <c r="J5" s="144"/>
      <c r="K5" s="144"/>
      <c r="L5" s="144"/>
      <c r="M5" s="144"/>
      <c r="N5" s="144"/>
      <c r="O5" s="145"/>
    </row>
    <row r="6" spans="1:15" ht="18.75" customHeight="1" x14ac:dyDescent="0.2">
      <c r="A6" s="143"/>
      <c r="B6" s="501" t="s">
        <v>235</v>
      </c>
      <c r="C6" s="144"/>
      <c r="D6" s="144"/>
      <c r="E6" s="144"/>
      <c r="F6" s="144"/>
      <c r="G6" s="144"/>
      <c r="H6" s="144"/>
      <c r="I6" s="144"/>
      <c r="J6" s="144"/>
      <c r="K6" s="144"/>
      <c r="L6" s="144"/>
      <c r="M6" s="144"/>
      <c r="N6" s="144"/>
      <c r="O6" s="145"/>
    </row>
    <row r="7" spans="1:15" ht="18.75" customHeight="1" x14ac:dyDescent="0.2">
      <c r="A7" s="143"/>
      <c r="B7" s="501" t="s">
        <v>236</v>
      </c>
      <c r="C7" s="144"/>
      <c r="D7" s="144"/>
      <c r="E7" s="144"/>
      <c r="F7" s="144"/>
      <c r="G7" s="144"/>
      <c r="H7" s="144"/>
      <c r="I7" s="144"/>
      <c r="J7" s="144"/>
      <c r="K7" s="144"/>
      <c r="L7" s="144"/>
      <c r="M7" s="144"/>
      <c r="N7" s="144"/>
      <c r="O7" s="145"/>
    </row>
    <row r="8" spans="1:15" ht="18.75" customHeight="1" x14ac:dyDescent="0.2">
      <c r="A8" s="143"/>
      <c r="B8" s="501" t="s">
        <v>254</v>
      </c>
      <c r="C8" s="144"/>
      <c r="D8" s="144"/>
      <c r="E8" s="144"/>
      <c r="F8" s="144"/>
      <c r="G8" s="144"/>
      <c r="H8" s="144"/>
      <c r="I8" s="144"/>
      <c r="J8" s="144"/>
      <c r="K8" s="144"/>
      <c r="L8" s="144"/>
      <c r="M8" s="144"/>
      <c r="N8" s="144"/>
      <c r="O8" s="145"/>
    </row>
    <row r="9" spans="1:15" x14ac:dyDescent="0.2">
      <c r="A9" s="143"/>
      <c r="B9" s="144"/>
      <c r="C9" s="144"/>
      <c r="D9" s="144"/>
      <c r="E9" s="144"/>
      <c r="F9" s="144"/>
      <c r="G9" s="144"/>
      <c r="H9" s="144"/>
      <c r="I9" s="144"/>
      <c r="J9" s="144"/>
      <c r="K9" s="144"/>
      <c r="L9" s="144"/>
      <c r="M9" s="144"/>
      <c r="N9" s="144"/>
      <c r="O9" s="145"/>
    </row>
    <row r="10" spans="1:15" ht="15.75" x14ac:dyDescent="0.25">
      <c r="A10" s="143"/>
      <c r="B10" s="147" t="s">
        <v>114</v>
      </c>
      <c r="C10" s="144"/>
      <c r="D10" s="640" t="s">
        <v>227</v>
      </c>
      <c r="E10" s="148" t="s">
        <v>115</v>
      </c>
      <c r="F10" s="144"/>
      <c r="G10" s="144"/>
      <c r="H10" s="144"/>
      <c r="I10" s="144"/>
      <c r="J10" s="144"/>
      <c r="K10" s="144"/>
      <c r="L10" s="144"/>
      <c r="M10" s="144"/>
      <c r="N10" s="144"/>
      <c r="O10" s="145"/>
    </row>
    <row r="11" spans="1:15" ht="18.75" customHeight="1" x14ac:dyDescent="0.2">
      <c r="A11" s="143"/>
      <c r="B11" s="149"/>
      <c r="C11" s="144"/>
      <c r="D11" s="144"/>
      <c r="E11" s="144"/>
      <c r="F11" s="144"/>
      <c r="G11" s="144"/>
      <c r="H11" s="144"/>
      <c r="I11" s="144"/>
      <c r="J11" s="144"/>
      <c r="K11" s="144"/>
      <c r="L11" s="144"/>
      <c r="M11" s="144"/>
      <c r="N11" s="144"/>
      <c r="O11" s="145"/>
    </row>
    <row r="12" spans="1:15" ht="18.75" customHeight="1" x14ac:dyDescent="0.3">
      <c r="A12" s="433">
        <v>1</v>
      </c>
      <c r="B12" s="432" t="s">
        <v>220</v>
      </c>
      <c r="C12" s="144"/>
      <c r="D12" s="144"/>
      <c r="E12" s="144"/>
      <c r="F12" s="144"/>
      <c r="G12" s="144"/>
      <c r="H12" s="144"/>
      <c r="I12" s="144"/>
      <c r="J12" s="144"/>
      <c r="K12" s="144"/>
      <c r="L12" s="144"/>
      <c r="M12" s="144"/>
      <c r="N12" s="144"/>
      <c r="O12" s="145"/>
    </row>
    <row r="13" spans="1:15" ht="18.75" customHeight="1" x14ac:dyDescent="0.3">
      <c r="A13" s="433"/>
      <c r="B13" s="62" t="s">
        <v>221</v>
      </c>
      <c r="C13" s="144"/>
      <c r="D13" s="144"/>
      <c r="E13" s="144"/>
      <c r="F13" s="144"/>
      <c r="G13" s="144"/>
      <c r="H13" s="144"/>
      <c r="I13" s="144"/>
      <c r="J13" s="144"/>
      <c r="K13" s="144"/>
      <c r="L13" s="144"/>
      <c r="M13" s="144"/>
      <c r="N13" s="144"/>
      <c r="O13" s="145"/>
    </row>
    <row r="14" spans="1:15" ht="18.75" customHeight="1" x14ac:dyDescent="0.3">
      <c r="A14" s="433"/>
      <c r="B14" s="62" t="s">
        <v>237</v>
      </c>
      <c r="C14" s="144"/>
      <c r="D14" s="144"/>
      <c r="E14" s="144"/>
      <c r="F14" s="144"/>
      <c r="G14" s="144"/>
      <c r="H14" s="144"/>
      <c r="I14" s="144"/>
      <c r="J14" s="144"/>
      <c r="K14" s="144"/>
      <c r="L14" s="144"/>
      <c r="M14" s="144"/>
      <c r="N14" s="144"/>
      <c r="O14" s="145"/>
    </row>
    <row r="15" spans="1:15" ht="18.75" customHeight="1" x14ac:dyDescent="0.3">
      <c r="A15" s="150"/>
      <c r="C15" s="144"/>
      <c r="D15" s="144"/>
      <c r="E15" s="144"/>
      <c r="F15" s="144"/>
      <c r="G15" s="144"/>
      <c r="H15" s="144"/>
      <c r="I15" s="144"/>
      <c r="J15" s="144"/>
      <c r="K15" s="144"/>
      <c r="L15" s="144"/>
      <c r="M15" s="144"/>
      <c r="N15" s="144"/>
      <c r="O15" s="145"/>
    </row>
    <row r="16" spans="1:15" ht="19.5" customHeight="1" x14ac:dyDescent="0.3">
      <c r="A16" s="433">
        <v>2</v>
      </c>
      <c r="B16" s="432" t="s">
        <v>224</v>
      </c>
      <c r="C16" s="144"/>
      <c r="D16" s="144"/>
      <c r="E16" s="144"/>
      <c r="F16" s="144"/>
      <c r="G16" s="144"/>
      <c r="H16" s="144"/>
      <c r="I16" s="144"/>
      <c r="J16" s="144"/>
      <c r="K16" s="144"/>
      <c r="L16" s="144"/>
      <c r="M16" s="144"/>
      <c r="N16" s="144"/>
      <c r="O16" s="145"/>
    </row>
    <row r="17" spans="1:15" ht="18.75" customHeight="1" x14ac:dyDescent="0.2">
      <c r="A17" s="151"/>
      <c r="B17" s="62" t="s">
        <v>222</v>
      </c>
      <c r="C17" s="144"/>
      <c r="D17" s="144"/>
      <c r="E17" s="144"/>
      <c r="F17" s="144"/>
      <c r="G17" s="144"/>
      <c r="H17" s="144"/>
      <c r="I17" s="144"/>
      <c r="J17" s="144"/>
      <c r="K17" s="144"/>
      <c r="L17" s="144"/>
      <c r="M17" s="144"/>
      <c r="N17" s="144"/>
      <c r="O17" s="145"/>
    </row>
    <row r="18" spans="1:15" ht="18.75" customHeight="1" x14ac:dyDescent="0.2">
      <c r="A18" s="151"/>
      <c r="B18" s="62" t="s">
        <v>238</v>
      </c>
      <c r="C18" s="144"/>
      <c r="D18" s="144"/>
      <c r="E18" s="144"/>
      <c r="F18" s="144"/>
      <c r="G18" s="144"/>
      <c r="H18" s="144"/>
      <c r="I18" s="144"/>
      <c r="J18" s="144"/>
      <c r="K18" s="144"/>
      <c r="L18" s="144"/>
      <c r="M18" s="144"/>
      <c r="N18" s="144"/>
      <c r="O18" s="145"/>
    </row>
    <row r="19" spans="1:15" ht="18.75" customHeight="1" x14ac:dyDescent="0.2">
      <c r="A19" s="151"/>
      <c r="B19" s="62" t="s">
        <v>223</v>
      </c>
      <c r="C19" s="144"/>
      <c r="D19" s="144"/>
      <c r="E19" s="144"/>
      <c r="F19" s="144"/>
      <c r="G19" s="144"/>
      <c r="H19" s="144"/>
      <c r="I19" s="144"/>
      <c r="J19" s="144"/>
      <c r="K19" s="144"/>
      <c r="L19" s="144"/>
      <c r="M19" s="144"/>
      <c r="N19" s="144"/>
      <c r="O19" s="145"/>
    </row>
    <row r="20" spans="1:15" ht="18.75" customHeight="1" x14ac:dyDescent="0.2">
      <c r="A20" s="151"/>
      <c r="B20" s="62" t="s">
        <v>239</v>
      </c>
      <c r="C20" s="144"/>
      <c r="D20" s="144"/>
      <c r="E20" s="144"/>
      <c r="F20" s="144"/>
      <c r="G20" s="144"/>
      <c r="H20" s="144"/>
      <c r="I20" s="144"/>
      <c r="J20" s="144"/>
      <c r="K20" s="144"/>
      <c r="L20" s="144"/>
      <c r="M20" s="144"/>
      <c r="N20" s="144"/>
      <c r="O20" s="145"/>
    </row>
    <row r="21" spans="1:15" ht="18.75" customHeight="1" x14ac:dyDescent="0.2">
      <c r="A21" s="151"/>
      <c r="C21" s="144"/>
      <c r="D21" s="144"/>
      <c r="E21" s="144"/>
      <c r="F21" s="144"/>
      <c r="G21" s="144"/>
      <c r="H21" s="144"/>
      <c r="I21" s="144"/>
      <c r="J21" s="144"/>
      <c r="K21" s="144"/>
      <c r="L21" s="144"/>
      <c r="M21" s="144"/>
      <c r="N21" s="144"/>
      <c r="O21" s="145"/>
    </row>
    <row r="22" spans="1:15" ht="19.5" customHeight="1" x14ac:dyDescent="0.3">
      <c r="A22" s="433">
        <v>3</v>
      </c>
      <c r="B22" s="432" t="s">
        <v>225</v>
      </c>
      <c r="C22" s="144"/>
      <c r="D22" s="144"/>
      <c r="E22" s="144"/>
      <c r="F22" s="144"/>
      <c r="G22" s="144"/>
      <c r="H22" s="144"/>
      <c r="I22" s="144"/>
      <c r="J22" s="144"/>
      <c r="K22" s="144"/>
      <c r="L22" s="144"/>
      <c r="M22" s="144"/>
      <c r="N22" s="144"/>
      <c r="O22" s="145"/>
    </row>
    <row r="23" spans="1:15" ht="19.5" customHeight="1" x14ac:dyDescent="0.3">
      <c r="A23" s="433"/>
      <c r="B23" s="62" t="s">
        <v>226</v>
      </c>
      <c r="C23" s="144"/>
      <c r="D23" s="144"/>
      <c r="E23" s="144"/>
      <c r="F23" s="144"/>
      <c r="G23" s="144"/>
      <c r="H23" s="144"/>
      <c r="I23" s="144"/>
      <c r="J23" s="144"/>
      <c r="K23" s="144"/>
      <c r="L23" s="144"/>
      <c r="M23" s="144"/>
      <c r="N23" s="144"/>
      <c r="O23" s="145"/>
    </row>
    <row r="24" spans="1:15" ht="19.5" customHeight="1" x14ac:dyDescent="0.3">
      <c r="A24" s="433"/>
      <c r="B24" s="62" t="s">
        <v>240</v>
      </c>
      <c r="C24" s="144"/>
      <c r="D24" s="144"/>
      <c r="E24" s="144"/>
      <c r="F24" s="144"/>
      <c r="G24" s="144"/>
      <c r="H24" s="144"/>
      <c r="I24" s="144"/>
      <c r="J24" s="144"/>
      <c r="K24" s="144"/>
      <c r="L24" s="144"/>
      <c r="M24" s="144"/>
      <c r="N24" s="144"/>
      <c r="O24" s="145"/>
    </row>
    <row r="25" spans="1:15" ht="19.5" customHeight="1" x14ac:dyDescent="0.2">
      <c r="A25" s="151"/>
      <c r="C25" s="144"/>
      <c r="D25" s="144"/>
      <c r="E25" s="144"/>
      <c r="F25" s="144"/>
      <c r="G25" s="144"/>
      <c r="H25" s="144"/>
      <c r="I25" s="144"/>
      <c r="J25" s="144"/>
      <c r="K25" s="144"/>
      <c r="L25" s="144"/>
      <c r="M25" s="144"/>
      <c r="N25" s="144"/>
      <c r="O25" s="145"/>
    </row>
    <row r="26" spans="1:15" ht="18.75" customHeight="1" x14ac:dyDescent="0.25">
      <c r="A26" s="143"/>
      <c r="B26" s="432" t="s">
        <v>113</v>
      </c>
      <c r="C26" s="144"/>
      <c r="D26" s="144"/>
      <c r="E26" s="144"/>
      <c r="F26" s="144"/>
      <c r="G26" s="144"/>
      <c r="H26" s="144"/>
      <c r="I26" s="144"/>
      <c r="J26" s="144"/>
      <c r="K26" s="144"/>
      <c r="L26" s="144"/>
      <c r="M26" s="144"/>
      <c r="N26" s="144"/>
      <c r="O26" s="145"/>
    </row>
    <row r="27" spans="1:15" ht="18.75" customHeight="1" x14ac:dyDescent="0.2">
      <c r="A27" s="143"/>
      <c r="B27" s="62" t="s">
        <v>241</v>
      </c>
      <c r="C27" s="144"/>
      <c r="D27" s="144"/>
      <c r="E27" s="144"/>
      <c r="F27" s="144"/>
      <c r="G27" s="144"/>
      <c r="H27" s="144"/>
      <c r="I27" s="144"/>
      <c r="J27" s="144"/>
      <c r="K27" s="144"/>
      <c r="L27" s="144"/>
      <c r="M27" s="144"/>
      <c r="N27" s="144"/>
      <c r="O27" s="145"/>
    </row>
    <row r="28" spans="1:15" ht="20.25" customHeight="1" x14ac:dyDescent="0.2">
      <c r="A28" s="143"/>
      <c r="B28" s="62" t="s">
        <v>242</v>
      </c>
      <c r="C28" s="144"/>
      <c r="D28" s="144"/>
      <c r="E28" s="144"/>
      <c r="F28" s="144"/>
      <c r="G28" s="144"/>
      <c r="H28" s="144"/>
      <c r="I28" s="144"/>
      <c r="J28" s="144"/>
      <c r="K28" s="144"/>
      <c r="L28" s="144"/>
      <c r="M28" s="144"/>
      <c r="N28" s="144"/>
      <c r="O28" s="145"/>
    </row>
    <row r="29" spans="1:15" ht="20.25" customHeight="1" x14ac:dyDescent="0.2">
      <c r="A29" s="143"/>
      <c r="B29" s="82" t="s">
        <v>243</v>
      </c>
      <c r="C29" s="144"/>
      <c r="D29" s="144"/>
      <c r="E29" s="144"/>
      <c r="F29" s="144"/>
      <c r="G29" s="144"/>
      <c r="H29" s="144"/>
      <c r="I29" s="144"/>
      <c r="J29" s="144"/>
      <c r="K29" s="144"/>
      <c r="L29" s="144"/>
      <c r="M29" s="144"/>
      <c r="N29" s="144"/>
      <c r="O29" s="145"/>
    </row>
    <row r="30" spans="1:15" ht="20.25" customHeight="1" x14ac:dyDescent="0.2">
      <c r="A30" s="143"/>
      <c r="B30" s="82" t="s">
        <v>244</v>
      </c>
      <c r="C30" s="144"/>
      <c r="D30" s="144"/>
      <c r="E30" s="144"/>
      <c r="F30" s="144"/>
      <c r="G30" s="144"/>
      <c r="H30" s="144"/>
      <c r="I30" s="144"/>
      <c r="J30" s="144"/>
      <c r="K30" s="144"/>
      <c r="L30" s="144"/>
      <c r="M30" s="144"/>
      <c r="N30" s="144"/>
      <c r="O30" s="145"/>
    </row>
    <row r="31" spans="1:15" ht="20.25" customHeight="1" x14ac:dyDescent="0.2">
      <c r="A31" s="143"/>
      <c r="B31" s="62" t="s">
        <v>245</v>
      </c>
      <c r="C31" s="144"/>
      <c r="D31" s="144"/>
      <c r="E31" s="144"/>
      <c r="F31" s="144"/>
      <c r="G31" s="144"/>
      <c r="H31" s="144"/>
      <c r="I31" s="144"/>
      <c r="J31" s="144"/>
      <c r="K31" s="144"/>
      <c r="L31" s="144"/>
      <c r="M31" s="144"/>
      <c r="N31" s="144"/>
      <c r="O31" s="145"/>
    </row>
    <row r="32" spans="1:15" ht="22.5" customHeight="1" x14ac:dyDescent="0.25">
      <c r="A32" s="143"/>
      <c r="C32" s="144"/>
      <c r="D32" s="144"/>
      <c r="E32" s="144"/>
      <c r="F32" s="158"/>
      <c r="G32" s="82"/>
      <c r="H32" s="82"/>
      <c r="I32" s="159"/>
      <c r="J32" s="144"/>
      <c r="K32" s="144"/>
      <c r="L32" s="144"/>
      <c r="M32" s="144"/>
      <c r="N32" s="144"/>
      <c r="O32" s="145"/>
    </row>
    <row r="33" spans="1:15" ht="23.25" customHeight="1" x14ac:dyDescent="0.25">
      <c r="A33" s="143"/>
      <c r="B33" s="432" t="s">
        <v>126</v>
      </c>
      <c r="C33" s="144"/>
      <c r="D33" s="144"/>
      <c r="E33" s="144"/>
      <c r="F33" s="158"/>
      <c r="G33" s="82"/>
      <c r="H33" s="82"/>
      <c r="I33" s="159"/>
      <c r="J33" s="144"/>
      <c r="K33" s="144"/>
      <c r="L33" s="144"/>
      <c r="M33" s="144"/>
      <c r="N33" s="144"/>
      <c r="O33" s="145"/>
    </row>
    <row r="34" spans="1:15" ht="16.5" customHeight="1" x14ac:dyDescent="0.25">
      <c r="A34" s="143"/>
      <c r="B34" s="62" t="s">
        <v>253</v>
      </c>
      <c r="C34" s="144"/>
      <c r="D34" s="144"/>
      <c r="E34" s="144"/>
      <c r="F34" s="158"/>
      <c r="G34" s="82"/>
      <c r="H34" s="82"/>
      <c r="I34" s="159"/>
      <c r="J34" s="144"/>
      <c r="K34" s="144"/>
      <c r="L34" s="144"/>
      <c r="M34" s="144"/>
      <c r="N34" s="144"/>
      <c r="O34" s="145"/>
    </row>
    <row r="35" spans="1:15" ht="17.25" customHeight="1" x14ac:dyDescent="0.2">
      <c r="A35" s="143"/>
      <c r="B35" s="504" t="s">
        <v>252</v>
      </c>
      <c r="C35" s="504"/>
      <c r="D35" s="504"/>
      <c r="E35" s="504"/>
      <c r="F35" s="504"/>
      <c r="G35" s="504"/>
      <c r="H35" s="504"/>
      <c r="I35" s="504"/>
      <c r="J35" s="504"/>
      <c r="K35" s="144"/>
      <c r="L35" s="144"/>
      <c r="M35" s="144"/>
      <c r="N35" s="144"/>
      <c r="O35" s="145"/>
    </row>
    <row r="36" spans="1:15" ht="17.25" customHeight="1" x14ac:dyDescent="0.2">
      <c r="A36" s="143"/>
      <c r="B36" s="502"/>
      <c r="C36" s="502"/>
      <c r="D36" s="502"/>
      <c r="E36" s="502"/>
      <c r="F36" s="502"/>
      <c r="G36" s="502"/>
      <c r="H36" s="502"/>
      <c r="I36" s="502"/>
      <c r="J36" s="502"/>
      <c r="K36" s="144"/>
      <c r="L36" s="144"/>
      <c r="M36" s="144"/>
      <c r="N36" s="144"/>
      <c r="O36" s="145"/>
    </row>
    <row r="37" spans="1:15" ht="17.25" customHeight="1" x14ac:dyDescent="0.2">
      <c r="A37" s="143"/>
      <c r="B37" s="62" t="s">
        <v>246</v>
      </c>
      <c r="C37" s="503"/>
      <c r="D37" s="503"/>
      <c r="E37" s="503"/>
      <c r="F37" s="503"/>
      <c r="G37" s="503"/>
      <c r="H37" s="503"/>
      <c r="I37" s="503"/>
      <c r="J37" s="503"/>
      <c r="K37" s="144"/>
      <c r="L37" s="144"/>
      <c r="M37" s="144"/>
      <c r="N37" s="144"/>
      <c r="O37" s="145"/>
    </row>
    <row r="38" spans="1:15" ht="17.25" customHeight="1" x14ac:dyDescent="0.25">
      <c r="A38" s="143"/>
      <c r="B38" s="62" t="s">
        <v>249</v>
      </c>
      <c r="C38" s="144"/>
      <c r="D38" s="144"/>
      <c r="E38" s="144"/>
      <c r="F38" s="158"/>
      <c r="G38" s="82"/>
      <c r="H38" s="82"/>
      <c r="I38" s="159"/>
      <c r="J38" s="144"/>
      <c r="K38" s="144"/>
      <c r="L38" s="144"/>
      <c r="M38" s="144"/>
      <c r="N38" s="144"/>
      <c r="O38" s="145"/>
    </row>
    <row r="39" spans="1:15" ht="15.75" x14ac:dyDescent="0.25">
      <c r="A39" s="143"/>
      <c r="B39" s="62" t="s">
        <v>247</v>
      </c>
      <c r="C39" s="144"/>
      <c r="D39" s="144"/>
      <c r="E39" s="144"/>
      <c r="F39" s="158"/>
      <c r="G39" s="160"/>
      <c r="H39" s="82"/>
      <c r="I39" s="159"/>
      <c r="J39" s="144"/>
      <c r="K39" s="148"/>
      <c r="L39" s="144"/>
      <c r="M39" s="144"/>
      <c r="N39" s="144"/>
      <c r="O39" s="145"/>
    </row>
    <row r="40" spans="1:15" ht="15" x14ac:dyDescent="0.2">
      <c r="A40" s="143"/>
      <c r="B40" s="504" t="s">
        <v>248</v>
      </c>
      <c r="C40" s="504"/>
      <c r="D40" s="504"/>
      <c r="E40" s="504"/>
      <c r="F40" s="504"/>
      <c r="G40" s="504"/>
      <c r="H40" s="504"/>
      <c r="I40" s="504"/>
      <c r="J40" s="504"/>
      <c r="K40" s="504"/>
      <c r="L40" s="504"/>
      <c r="M40" s="504"/>
      <c r="N40" s="144"/>
      <c r="O40" s="145"/>
    </row>
    <row r="41" spans="1:15" ht="15" x14ac:dyDescent="0.2">
      <c r="A41" s="143"/>
      <c r="B41" s="502"/>
      <c r="C41" s="502"/>
      <c r="D41" s="502"/>
      <c r="E41" s="502"/>
      <c r="F41" s="502"/>
      <c r="G41" s="502"/>
      <c r="H41" s="502"/>
      <c r="I41" s="502"/>
      <c r="J41" s="502"/>
      <c r="K41" s="502"/>
      <c r="L41" s="502"/>
      <c r="M41" s="502"/>
      <c r="N41" s="144"/>
      <c r="O41" s="145"/>
    </row>
    <row r="42" spans="1:15" ht="15.75" x14ac:dyDescent="0.25">
      <c r="A42" s="143"/>
      <c r="B42" s="62" t="s">
        <v>250</v>
      </c>
      <c r="C42" s="144"/>
      <c r="D42" s="144"/>
      <c r="E42" s="144"/>
      <c r="F42" s="158"/>
      <c r="G42" s="160"/>
      <c r="H42" s="82"/>
      <c r="I42" s="161"/>
      <c r="K42" s="148"/>
      <c r="L42" s="144"/>
      <c r="M42" s="144"/>
      <c r="N42" s="144"/>
      <c r="O42" s="145"/>
    </row>
    <row r="43" spans="1:15" ht="15.75" x14ac:dyDescent="0.25">
      <c r="A43" s="143"/>
      <c r="B43" s="62" t="s">
        <v>251</v>
      </c>
      <c r="C43" s="144"/>
      <c r="D43" s="144"/>
      <c r="E43" s="144"/>
      <c r="F43" s="158"/>
      <c r="G43" s="82"/>
      <c r="H43" s="82"/>
      <c r="I43" s="159"/>
      <c r="J43" s="144"/>
      <c r="K43" s="144"/>
      <c r="L43" s="144"/>
      <c r="M43" s="144"/>
      <c r="N43" s="144"/>
      <c r="O43" s="145"/>
    </row>
    <row r="44" spans="1:15" ht="15.75" x14ac:dyDescent="0.25">
      <c r="A44" s="143"/>
      <c r="B44" s="144"/>
      <c r="C44" s="144"/>
      <c r="D44" s="144"/>
      <c r="E44" s="144"/>
      <c r="F44" s="158"/>
      <c r="G44" s="82"/>
      <c r="H44" s="82"/>
      <c r="I44" s="159"/>
      <c r="J44" s="144"/>
      <c r="K44" s="144"/>
      <c r="L44" s="144"/>
      <c r="M44" s="144"/>
      <c r="N44" s="144"/>
      <c r="O44" s="145"/>
    </row>
    <row r="45" spans="1:15" ht="15.75" x14ac:dyDescent="0.25">
      <c r="A45" s="143"/>
      <c r="B45" s="144"/>
      <c r="C45" s="144"/>
      <c r="D45" s="144"/>
      <c r="E45" s="144"/>
      <c r="G45" s="82"/>
      <c r="H45" s="82"/>
      <c r="I45" s="159"/>
      <c r="J45" s="144"/>
      <c r="K45" s="144"/>
      <c r="L45" s="144"/>
      <c r="M45" s="144"/>
      <c r="N45" s="144"/>
      <c r="O45" s="145"/>
    </row>
    <row r="46" spans="1:15" x14ac:dyDescent="0.2">
      <c r="A46" s="143"/>
      <c r="B46" s="144"/>
      <c r="C46" s="144"/>
      <c r="D46" s="144"/>
      <c r="E46" s="144"/>
      <c r="F46" s="144"/>
      <c r="G46" s="144"/>
      <c r="H46" s="144"/>
      <c r="I46" s="144"/>
      <c r="J46" s="144"/>
      <c r="K46" s="144"/>
      <c r="L46" s="144"/>
      <c r="M46" s="144"/>
      <c r="N46" s="144"/>
      <c r="O46" s="145"/>
    </row>
    <row r="47" spans="1:15" x14ac:dyDescent="0.2">
      <c r="A47" s="143"/>
      <c r="B47" s="144"/>
      <c r="C47" s="144"/>
      <c r="D47" s="144"/>
      <c r="E47" s="144"/>
      <c r="F47" s="144"/>
      <c r="G47" s="144"/>
      <c r="H47" s="144"/>
      <c r="I47" s="144"/>
      <c r="J47" s="144"/>
      <c r="K47" s="144"/>
      <c r="L47" s="144"/>
      <c r="M47" s="144"/>
      <c r="N47" s="144"/>
      <c r="O47" s="145"/>
    </row>
    <row r="48" spans="1:15" x14ac:dyDescent="0.2">
      <c r="A48" s="143"/>
      <c r="B48" s="144"/>
      <c r="C48" s="144"/>
      <c r="D48" s="144"/>
      <c r="E48" s="144"/>
      <c r="F48" s="144"/>
      <c r="G48" s="144"/>
      <c r="H48" s="144"/>
      <c r="I48" s="144"/>
      <c r="J48" s="144"/>
      <c r="K48" s="144"/>
      <c r="L48" s="144"/>
      <c r="M48" s="144"/>
      <c r="N48" s="144"/>
      <c r="O48" s="145"/>
    </row>
    <row r="49" spans="1:15" x14ac:dyDescent="0.2">
      <c r="A49" s="146"/>
      <c r="B49" s="153"/>
      <c r="C49" s="153"/>
      <c r="D49" s="153"/>
      <c r="E49" s="153"/>
      <c r="F49" s="153"/>
      <c r="G49" s="153"/>
      <c r="H49" s="153"/>
      <c r="I49" s="153"/>
      <c r="J49" s="153"/>
      <c r="K49" s="153"/>
      <c r="L49" s="153"/>
      <c r="M49" s="153"/>
      <c r="N49" s="153"/>
      <c r="O49" s="154"/>
    </row>
    <row r="50" spans="1:15" x14ac:dyDescent="0.2">
      <c r="A50" s="317"/>
      <c r="B50" s="318"/>
      <c r="C50" s="318"/>
      <c r="D50" s="318"/>
      <c r="E50" s="318"/>
      <c r="F50" s="318"/>
      <c r="G50" s="318"/>
      <c r="H50" s="318"/>
      <c r="I50" s="318"/>
      <c r="J50" s="318"/>
      <c r="K50" s="318"/>
      <c r="L50" s="318"/>
      <c r="M50" s="318"/>
      <c r="N50" s="318"/>
      <c r="O50" s="319"/>
    </row>
    <row r="51" spans="1:15" x14ac:dyDescent="0.2">
      <c r="A51" s="146"/>
      <c r="B51" s="153"/>
      <c r="C51" s="153"/>
      <c r="D51" s="153"/>
      <c r="E51" s="153"/>
      <c r="F51" s="153"/>
      <c r="G51" s="153"/>
      <c r="H51" s="153"/>
      <c r="I51" s="153"/>
      <c r="J51" s="153"/>
      <c r="K51" s="153"/>
      <c r="L51" s="153"/>
      <c r="M51" s="153"/>
      <c r="N51" s="153"/>
      <c r="O51" s="154"/>
    </row>
    <row r="52" spans="1:15" ht="13.5" thickBot="1" x14ac:dyDescent="0.25">
      <c r="A52" s="155"/>
      <c r="B52" s="156"/>
      <c r="C52" s="156"/>
      <c r="D52" s="156"/>
      <c r="E52" s="156"/>
      <c r="F52" s="156"/>
      <c r="G52" s="156"/>
      <c r="H52" s="156"/>
      <c r="I52" s="156"/>
      <c r="J52" s="156"/>
      <c r="K52" s="156"/>
      <c r="L52" s="156"/>
      <c r="M52" s="156"/>
      <c r="N52" s="156"/>
      <c r="O52" s="157"/>
    </row>
  </sheetData>
  <sheetProtection sheet="1" selectLockedCells="1"/>
  <mergeCells count="2">
    <mergeCell ref="B40:M40"/>
    <mergeCell ref="B35:J35"/>
  </mergeCells>
  <phoneticPr fontId="21" type="noConversion"/>
  <hyperlinks>
    <hyperlink ref="B40" r:id="rId1" xr:uid="{00000000-0004-0000-0000-000000000000}"/>
    <hyperlink ref="B35" r:id="rId2" xr:uid="{00000000-0004-0000-0000-000001000000}"/>
  </hyperlinks>
  <pageMargins left="0.75" right="0.75" top="1" bottom="1" header="0.5" footer="0.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361AD"/>
    <pageSetUpPr fitToPage="1"/>
  </sheetPr>
  <dimension ref="B3:XFA247"/>
  <sheetViews>
    <sheetView showGridLines="0" showRowColHeaders="0" zoomScale="70" zoomScaleNormal="70" workbookViewId="0">
      <pane ySplit="3" topLeftCell="A10" activePane="bottomLeft" state="frozen"/>
      <selection pane="bottomLeft" activeCell="B23" sqref="B23:D23"/>
    </sheetView>
  </sheetViews>
  <sheetFormatPr defaultColWidth="0" defaultRowHeight="15" x14ac:dyDescent="0.2"/>
  <cols>
    <col min="1" max="1" width="2.7109375" style="59" customWidth="1"/>
    <col min="2" max="2" width="37" style="59" customWidth="1"/>
    <col min="3" max="3" width="24.85546875" style="59" customWidth="1"/>
    <col min="4" max="4" width="17.7109375" style="59" customWidth="1"/>
    <col min="5" max="5" width="34.28515625" style="59" bestFit="1" customWidth="1"/>
    <col min="6" max="6" width="25.85546875" style="59" bestFit="1" customWidth="1"/>
    <col min="7" max="7" width="26.7109375" style="59" customWidth="1"/>
    <col min="8" max="8" width="19.5703125" style="59" customWidth="1"/>
    <col min="9" max="9" width="19.28515625" style="59" customWidth="1"/>
    <col min="10" max="10" width="19" style="59" customWidth="1"/>
    <col min="11" max="11" width="21.7109375" style="59" customWidth="1"/>
    <col min="12" max="12" width="18.7109375" style="59" customWidth="1"/>
    <col min="13" max="13" width="41.85546875" style="59" customWidth="1"/>
    <col min="14" max="14" width="7.28515625" style="59" customWidth="1"/>
    <col min="15" max="15" width="8.28515625" style="59" customWidth="1"/>
    <col min="16" max="16" width="6.85546875" style="59" customWidth="1"/>
    <col min="17" max="17" width="2.42578125" style="59" customWidth="1"/>
    <col min="18" max="18" width="38" style="59" bestFit="1" customWidth="1"/>
    <col min="19" max="19" width="48.42578125" style="59" customWidth="1"/>
    <col min="20" max="20" width="21" style="59" bestFit="1" customWidth="1"/>
    <col min="21" max="21" width="17.7109375" style="59" bestFit="1" customWidth="1"/>
    <col min="22" max="22" width="12.140625" style="59" bestFit="1" customWidth="1"/>
    <col min="23" max="23" width="13.42578125" style="59" bestFit="1" customWidth="1"/>
    <col min="24" max="24" width="20.42578125" style="59" bestFit="1" customWidth="1"/>
    <col min="25" max="25" width="22" style="59" bestFit="1" customWidth="1"/>
    <col min="26" max="26" width="27.42578125" style="59" customWidth="1"/>
    <col min="27" max="28" width="49.140625" style="59" customWidth="1"/>
    <col min="29" max="29" width="38.7109375" style="78" customWidth="1"/>
    <col min="30" max="30" width="31.5703125" style="78" bestFit="1" customWidth="1"/>
    <col min="31" max="31" width="37.28515625" style="78" bestFit="1" customWidth="1"/>
    <col min="32" max="32" width="57.28515625" style="78" bestFit="1" customWidth="1"/>
    <col min="33" max="33" width="37.28515625" style="78" customWidth="1"/>
    <col min="34" max="34" width="20.140625" style="92" customWidth="1"/>
    <col min="35" max="35" width="40.7109375" style="59" hidden="1" customWidth="1"/>
    <col min="36" max="36" width="10.42578125" style="59" hidden="1" customWidth="1"/>
    <col min="37" max="37" width="21.28515625" style="59" hidden="1" customWidth="1"/>
    <col min="38" max="45" width="40.7109375" style="59" hidden="1" customWidth="1"/>
    <col min="46" max="74" width="0" style="59" hidden="1" customWidth="1"/>
    <col min="75" max="16381" width="40.7109375" style="59" hidden="1"/>
    <col min="16382" max="16382" width="2.5703125" style="59" customWidth="1"/>
    <col min="16383" max="16383" width="5" style="59" customWidth="1"/>
    <col min="16384" max="16384" width="7.28515625" style="59" customWidth="1"/>
  </cols>
  <sheetData>
    <row r="3" spans="2:34" s="320" customFormat="1" ht="47.25" customHeight="1" x14ac:dyDescent="0.65">
      <c r="C3" s="321" t="s">
        <v>199</v>
      </c>
      <c r="D3" s="321"/>
      <c r="E3" s="321"/>
      <c r="F3" s="321"/>
      <c r="G3" s="321"/>
      <c r="H3" s="321"/>
      <c r="I3" s="321"/>
      <c r="J3" s="321"/>
      <c r="K3" s="321"/>
      <c r="AB3" s="322"/>
      <c r="AC3" s="322"/>
      <c r="AD3" s="322"/>
      <c r="AE3" s="322"/>
      <c r="AF3" s="322"/>
      <c r="AG3" s="322"/>
      <c r="AH3" s="323"/>
    </row>
    <row r="4" spans="2:34" ht="15.75" customHeight="1" x14ac:dyDescent="0.2">
      <c r="E4" s="93"/>
      <c r="R4" s="94"/>
      <c r="AB4" s="78"/>
      <c r="AE4" s="79"/>
    </row>
    <row r="5" spans="2:34" ht="21.75" customHeight="1" x14ac:dyDescent="0.35">
      <c r="C5" s="342"/>
      <c r="D5" s="555" t="s">
        <v>127</v>
      </c>
      <c r="E5" s="555"/>
      <c r="F5" s="555"/>
      <c r="G5" s="555"/>
      <c r="H5" s="555"/>
      <c r="I5" s="555"/>
      <c r="J5" s="342"/>
      <c r="R5" s="94"/>
      <c r="AB5" s="78"/>
      <c r="AE5" s="79"/>
    </row>
    <row r="6" spans="2:34" ht="24" customHeight="1" x14ac:dyDescent="0.35">
      <c r="C6" s="343" t="s">
        <v>129</v>
      </c>
      <c r="D6" s="328" t="s">
        <v>228</v>
      </c>
      <c r="E6" s="569" t="s">
        <v>128</v>
      </c>
      <c r="F6" s="569"/>
      <c r="G6" s="569"/>
      <c r="H6" s="569"/>
      <c r="I6" s="569"/>
      <c r="J6" s="569"/>
      <c r="K6" s="569"/>
      <c r="R6" s="94"/>
      <c r="AB6" s="78"/>
      <c r="AE6" s="79"/>
    </row>
    <row r="7" spans="2:34" ht="24" customHeight="1" x14ac:dyDescent="0.35">
      <c r="C7" s="343"/>
      <c r="D7" s="421"/>
      <c r="E7" s="420"/>
      <c r="F7" s="420"/>
      <c r="G7" s="420"/>
      <c r="H7" s="420"/>
      <c r="I7" s="420"/>
      <c r="J7" s="420"/>
      <c r="K7" s="420"/>
      <c r="R7" s="94"/>
      <c r="AB7" s="78"/>
      <c r="AE7" s="79"/>
    </row>
    <row r="8" spans="2:34" ht="24" customHeight="1" x14ac:dyDescent="0.35">
      <c r="C8" s="343"/>
      <c r="D8" s="421"/>
      <c r="E8" s="420"/>
      <c r="F8" s="420"/>
      <c r="G8" s="420"/>
      <c r="H8" s="420"/>
      <c r="I8" s="420"/>
      <c r="J8" s="420"/>
      <c r="K8" s="420"/>
      <c r="R8" s="94"/>
      <c r="AB8" s="78"/>
      <c r="AE8" s="79"/>
    </row>
    <row r="9" spans="2:34" ht="9" customHeight="1" thickBot="1" x14ac:dyDescent="0.45">
      <c r="C9" s="306"/>
      <c r="D9" s="308"/>
      <c r="E9" s="307"/>
      <c r="F9" s="307"/>
      <c r="G9" s="307"/>
      <c r="H9" s="307"/>
      <c r="I9" s="307"/>
      <c r="J9" s="307"/>
      <c r="K9" s="89"/>
      <c r="R9" s="94"/>
      <c r="AB9" s="78"/>
      <c r="AE9" s="79"/>
    </row>
    <row r="10" spans="2:34" ht="37.5" customHeight="1" thickBot="1" x14ac:dyDescent="0.3">
      <c r="B10" s="567" t="s">
        <v>210</v>
      </c>
      <c r="C10" s="568"/>
      <c r="D10" s="309"/>
      <c r="AB10" s="78"/>
    </row>
    <row r="11" spans="2:34" ht="15" customHeight="1" thickTop="1" x14ac:dyDescent="0.25">
      <c r="B11" s="329" t="s">
        <v>24</v>
      </c>
      <c r="C11" s="324">
        <v>130</v>
      </c>
      <c r="D11" s="331" t="s">
        <v>42</v>
      </c>
      <c r="E11" s="170"/>
      <c r="F11" s="60"/>
      <c r="G11" s="80"/>
      <c r="H11" s="334">
        <v>0.26</v>
      </c>
      <c r="AB11" s="78"/>
    </row>
    <row r="12" spans="2:34" ht="15.75" x14ac:dyDescent="0.25">
      <c r="B12" s="329" t="s">
        <v>25</v>
      </c>
      <c r="C12" s="325">
        <v>12</v>
      </c>
      <c r="D12" s="329" t="s">
        <v>109</v>
      </c>
      <c r="E12" s="63"/>
      <c r="F12" s="82"/>
      <c r="G12" s="86"/>
      <c r="H12" s="335">
        <v>12</v>
      </c>
      <c r="AB12" s="78"/>
    </row>
    <row r="13" spans="2:34" ht="16.5" thickBot="1" x14ac:dyDescent="0.3">
      <c r="B13" s="329" t="s">
        <v>26</v>
      </c>
      <c r="C13" s="326">
        <v>2.8</v>
      </c>
      <c r="D13" s="332" t="s">
        <v>21</v>
      </c>
      <c r="E13" s="312"/>
      <c r="F13" s="126"/>
      <c r="G13" s="313"/>
      <c r="H13" s="415">
        <v>2410</v>
      </c>
      <c r="O13" s="62"/>
      <c r="P13" s="62"/>
      <c r="AB13" s="78"/>
    </row>
    <row r="14" spans="2:34" ht="16.5" thickBot="1" x14ac:dyDescent="0.3">
      <c r="B14" s="333" t="s">
        <v>27</v>
      </c>
      <c r="C14" s="408">
        <v>3</v>
      </c>
      <c r="D14" s="410" t="s">
        <v>23</v>
      </c>
      <c r="E14" s="411"/>
      <c r="F14" s="412"/>
      <c r="G14" s="413"/>
      <c r="H14" s="414">
        <v>3.5</v>
      </c>
      <c r="O14" s="510"/>
      <c r="P14" s="511"/>
      <c r="AB14" s="78"/>
      <c r="AC14" s="1"/>
      <c r="AD14" s="1"/>
      <c r="AE14" s="1"/>
    </row>
    <row r="15" spans="2:34" ht="16.5" hidden="1" customHeight="1" thickBot="1" x14ac:dyDescent="0.3">
      <c r="B15" s="330" t="s">
        <v>28</v>
      </c>
      <c r="C15" s="327" t="s">
        <v>22</v>
      </c>
      <c r="D15" s="333" t="s">
        <v>111</v>
      </c>
      <c r="E15" s="171"/>
      <c r="F15" s="83"/>
      <c r="G15" s="81"/>
      <c r="H15" s="409">
        <f>+IF(C15="o",18.69,16.99)*C11*3.28083*C12*3.28083</f>
        <v>313834.98461256397</v>
      </c>
      <c r="O15" s="512"/>
      <c r="P15" s="512"/>
      <c r="AB15" s="78"/>
    </row>
    <row r="16" spans="2:34" x14ac:dyDescent="0.2">
      <c r="H16" s="84"/>
      <c r="I16" s="85"/>
      <c r="O16" s="513"/>
      <c r="P16" s="514"/>
      <c r="AB16" s="78"/>
    </row>
    <row r="17" spans="2:33" x14ac:dyDescent="0.2">
      <c r="E17" s="82"/>
      <c r="F17" s="63"/>
      <c r="G17" s="64"/>
      <c r="H17" s="63"/>
      <c r="I17" s="61"/>
      <c r="AB17" s="78"/>
    </row>
    <row r="18" spans="2:33" ht="16.5" customHeight="1" x14ac:dyDescent="0.25">
      <c r="B18" s="559" t="s">
        <v>219</v>
      </c>
      <c r="C18" s="559"/>
      <c r="D18" s="559"/>
      <c r="E18" s="559"/>
      <c r="F18" s="592" t="str">
        <f>IF(K23="","","NOTE— changing the number of fans will likely result in an OVER estimation of power consumption")</f>
        <v/>
      </c>
      <c r="G18" s="592"/>
      <c r="H18" s="592"/>
      <c r="I18" s="592"/>
      <c r="J18" s="592"/>
      <c r="K18" s="592"/>
      <c r="AB18" s="78"/>
    </row>
    <row r="19" spans="2:33" s="3" customFormat="1" ht="14.25" customHeight="1" thickBot="1" x14ac:dyDescent="0.3">
      <c r="B19" s="593"/>
      <c r="C19" s="593"/>
      <c r="D19" s="593"/>
      <c r="E19" s="66"/>
      <c r="F19" s="66"/>
      <c r="G19" s="66"/>
      <c r="H19" s="66"/>
      <c r="I19" s="66"/>
      <c r="K19" s="2"/>
      <c r="M19" s="4"/>
      <c r="AB19" s="1"/>
      <c r="AC19" s="1"/>
      <c r="AD19" s="1"/>
      <c r="AE19" s="1"/>
      <c r="AF19" s="1"/>
      <c r="AG19" s="1"/>
    </row>
    <row r="20" spans="2:33" s="3" customFormat="1" ht="18.75" customHeight="1" x14ac:dyDescent="0.25">
      <c r="B20" s="583" t="s">
        <v>201</v>
      </c>
      <c r="C20" s="584"/>
      <c r="D20" s="585"/>
      <c r="E20" s="336" t="s">
        <v>151</v>
      </c>
      <c r="F20" s="336" t="s">
        <v>104</v>
      </c>
      <c r="G20" s="336" t="s">
        <v>107</v>
      </c>
      <c r="H20" s="336" t="s">
        <v>105</v>
      </c>
      <c r="I20" s="570" t="s">
        <v>102</v>
      </c>
      <c r="J20" s="571"/>
      <c r="K20" s="59"/>
      <c r="M20" s="4"/>
      <c r="AB20" s="1"/>
      <c r="AC20" s="1"/>
      <c r="AD20" s="1"/>
      <c r="AE20" s="1"/>
      <c r="AF20" s="1"/>
      <c r="AG20" s="1"/>
    </row>
    <row r="21" spans="2:33" s="3" customFormat="1" ht="16.5" customHeight="1" x14ac:dyDescent="0.25">
      <c r="B21" s="586"/>
      <c r="C21" s="587"/>
      <c r="D21" s="588"/>
      <c r="E21" s="337" t="s">
        <v>9</v>
      </c>
      <c r="F21" s="337" t="s">
        <v>122</v>
      </c>
      <c r="G21" s="337" t="s">
        <v>203</v>
      </c>
      <c r="H21" s="337" t="s">
        <v>106</v>
      </c>
      <c r="I21" s="572" t="s">
        <v>38</v>
      </c>
      <c r="J21" s="520" t="s">
        <v>196</v>
      </c>
      <c r="K21" s="59"/>
      <c r="M21" s="4"/>
      <c r="AB21" s="1"/>
      <c r="AC21" s="1"/>
      <c r="AD21" s="1"/>
      <c r="AE21" s="1"/>
      <c r="AF21" s="1"/>
      <c r="AG21" s="1"/>
    </row>
    <row r="22" spans="2:33" s="3" customFormat="1" ht="35.25" customHeight="1" thickBot="1" x14ac:dyDescent="0.3">
      <c r="B22" s="589"/>
      <c r="C22" s="590"/>
      <c r="D22" s="591"/>
      <c r="E22" s="338" t="s">
        <v>152</v>
      </c>
      <c r="F22" s="339" t="s">
        <v>121</v>
      </c>
      <c r="G22" s="338"/>
      <c r="H22" s="338"/>
      <c r="I22" s="573"/>
      <c r="J22" s="521"/>
      <c r="K22" s="59"/>
      <c r="M22" s="4"/>
      <c r="AB22" s="1"/>
      <c r="AC22" s="1"/>
      <c r="AD22" s="1"/>
      <c r="AE22" s="1"/>
      <c r="AF22" s="1"/>
      <c r="AG22" s="1"/>
    </row>
    <row r="23" spans="2:33" s="3" customFormat="1" ht="16.5" thickTop="1" x14ac:dyDescent="0.25">
      <c r="B23" s="560"/>
      <c r="C23" s="561"/>
      <c r="D23" s="562"/>
      <c r="E23" s="65" t="str">
        <f>IF(B23="","",VLOOKUP($B23,$AB$47:$AH$94,2,FALSE))</f>
        <v/>
      </c>
      <c r="F23" s="88" t="str">
        <f>IF(E23="","",VLOOKUP($B23,$AB$47:$AH$94,3,FALSE))</f>
        <v/>
      </c>
      <c r="G23" s="87" t="str">
        <f>IF(E23="","",VLOOKUP($B23,$AB$47:$AH$94,4,FALSE))</f>
        <v/>
      </c>
      <c r="H23" s="87" t="str">
        <f>IF(E23="","",VLOOKUP($B23,AB47:AH94,5,FALSE))</f>
        <v/>
      </c>
      <c r="I23" s="416" t="str">
        <f>IF(E23="","",VLOOKUP($B23,AB47:AH94,6,FALSE))</f>
        <v/>
      </c>
      <c r="J23" s="417" t="str">
        <f>IF(E23="","",VLOOKUP($B23,AB47:AH94,7,FALSE))</f>
        <v/>
      </c>
      <c r="K23" s="59"/>
      <c r="M23" s="4"/>
      <c r="AB23" s="1"/>
      <c r="AC23" s="1"/>
      <c r="AD23" s="1"/>
      <c r="AE23" s="1"/>
      <c r="AF23" s="1"/>
      <c r="AG23" s="1"/>
    </row>
    <row r="24" spans="2:33" s="3" customFormat="1" ht="15.75" x14ac:dyDescent="0.25">
      <c r="B24" s="556"/>
      <c r="C24" s="557"/>
      <c r="D24" s="558"/>
      <c r="E24" s="65" t="str">
        <f>IF(B24="","",VLOOKUP($B24,$AB$47:$AH$94,2,FALSE))</f>
        <v/>
      </c>
      <c r="F24" s="88" t="str">
        <f>IF(E24="","",VLOOKUP($B24,$AB$47:$AH$94,3,FALSE))</f>
        <v/>
      </c>
      <c r="G24" s="87" t="str">
        <f>IF(E24="","",VLOOKUP($B24,$AB$47:$AH$94,4,FALSE))</f>
        <v/>
      </c>
      <c r="H24" s="87" t="str">
        <f>IF(E24="","",VLOOKUP($B24,AB49:AH96,5,FALSE))</f>
        <v/>
      </c>
      <c r="I24" s="416" t="str">
        <f>IF(E24="","",VLOOKUP($B24,AB47:AH94,6,FALSE))</f>
        <v/>
      </c>
      <c r="J24" s="417" t="str">
        <f>IF(E24="","",VLOOKUP($B24,AB47:AH94,7,FALSE))</f>
        <v/>
      </c>
      <c r="K24" s="59"/>
      <c r="AB24" s="1"/>
      <c r="AC24" s="1"/>
      <c r="AD24" s="1"/>
      <c r="AE24" s="1"/>
      <c r="AF24" s="1"/>
      <c r="AG24" s="1"/>
    </row>
    <row r="25" spans="2:33" s="3" customFormat="1" ht="15.75" x14ac:dyDescent="0.25">
      <c r="B25" s="515"/>
      <c r="C25" s="516"/>
      <c r="D25" s="517"/>
      <c r="E25" s="65" t="str">
        <f>IF(B25="","",VLOOKUP($B25,$AB$47:$AH$94,2,FALSE))</f>
        <v/>
      </c>
      <c r="F25" s="88" t="str">
        <f>IF(E25="","",VLOOKUP($B25,$AB$47:$AH$94,3,FALSE))</f>
        <v/>
      </c>
      <c r="G25" s="87" t="str">
        <f>IF(E25="","",VLOOKUP($B25,$AB$47:$AH$94,4,FALSE))</f>
        <v/>
      </c>
      <c r="H25" s="87" t="str">
        <f>IF(E25="","",VLOOKUP($B25,AB47:AH94,5,FALSE))</f>
        <v/>
      </c>
      <c r="I25" s="416" t="str">
        <f>IF(E25="","",VLOOKUP($B25,AB47:AH94,6,FALSE))</f>
        <v/>
      </c>
      <c r="J25" s="417" t="str">
        <f>IF(E25="","",VLOOKUP($B25,AB47:AH94,7,FALSE))</f>
        <v/>
      </c>
      <c r="K25" s="59"/>
      <c r="AB25" s="1"/>
      <c r="AC25" s="1"/>
      <c r="AD25" s="1"/>
      <c r="AE25" s="1"/>
      <c r="AF25" s="1"/>
      <c r="AG25" s="1"/>
    </row>
    <row r="26" spans="2:33" s="3" customFormat="1" ht="15.75" x14ac:dyDescent="0.25">
      <c r="B26" s="515"/>
      <c r="C26" s="516"/>
      <c r="D26" s="517"/>
      <c r="E26" s="65" t="str">
        <f>IF(B26="","",VLOOKUP($B26,$AB$47:$AH$94,2,FALSE))</f>
        <v/>
      </c>
      <c r="F26" s="88" t="str">
        <f>IF(E26="","",VLOOKUP($B26,$AB$47:$AH$94,3,FALSE))</f>
        <v/>
      </c>
      <c r="G26" s="87" t="str">
        <f>IF(E26="","",VLOOKUP($B26,$AB$47:$AH$94,4,FALSE))</f>
        <v/>
      </c>
      <c r="H26" s="87" t="str">
        <f>IF(E26="","",VLOOKUP($B26,AB47:AH94,5,FALSE))</f>
        <v/>
      </c>
      <c r="I26" s="416" t="str">
        <f>IF(E26="","",VLOOKUP($B26,AB47:AH94,6,FALSE))</f>
        <v/>
      </c>
      <c r="J26" s="417" t="str">
        <f>IF(E26="","",VLOOKUP($B26,AB47:AH94,7,FALSE))</f>
        <v/>
      </c>
      <c r="K26" s="59"/>
      <c r="AB26" s="1"/>
      <c r="AC26" s="1"/>
      <c r="AD26" s="1"/>
      <c r="AE26" s="1"/>
      <c r="AF26" s="1"/>
      <c r="AG26" s="1"/>
    </row>
    <row r="27" spans="2:33" s="3" customFormat="1" ht="16.5" thickBot="1" x14ac:dyDescent="0.3">
      <c r="B27" s="564"/>
      <c r="C27" s="565"/>
      <c r="D27" s="566"/>
      <c r="E27" s="310" t="str">
        <f>IF(B27="","",VLOOKUP($B27,$AB$47:$AH$94,2,FALSE))</f>
        <v/>
      </c>
      <c r="F27" s="217" t="str">
        <f>IF(E27="","",VLOOKUP($B27,$AB$47:$AH$94,3,FALSE))</f>
        <v/>
      </c>
      <c r="G27" s="218" t="str">
        <f>IF(E27="","",VLOOKUP($B27,$AB$47:$AH$94,4,FALSE))</f>
        <v/>
      </c>
      <c r="H27" s="218" t="str">
        <f>IF(E27="","",VLOOKUP($B27,AB47:AH94,5,FALSE))</f>
        <v/>
      </c>
      <c r="I27" s="418" t="str">
        <f>IF(E27="","",VLOOKUP($B27,AB47:AH94,6,FALSE))</f>
        <v/>
      </c>
      <c r="J27" s="419" t="str">
        <f>IF(E27="","",VLOOKUP($B27,AB47:AH94,7,FALSE))</f>
        <v/>
      </c>
      <c r="K27" s="59"/>
      <c r="AB27" s="1"/>
      <c r="AC27" s="1"/>
      <c r="AD27" s="1"/>
      <c r="AE27" s="1"/>
      <c r="AF27" s="1"/>
      <c r="AG27" s="1"/>
    </row>
    <row r="28" spans="2:33" s="3" customFormat="1" ht="5.25" customHeight="1" x14ac:dyDescent="0.25">
      <c r="B28" s="519" t="s">
        <v>103</v>
      </c>
      <c r="C28" s="519"/>
      <c r="D28" s="519"/>
      <c r="E28" s="207"/>
      <c r="F28" s="90" t="str">
        <f>IF(E28="","",VLOOKUP($B28,$B$100:$Y$130,9,FALSE))</f>
        <v/>
      </c>
      <c r="G28" s="91" t="str">
        <f>IF(E28="","",VLOOKUP($B28,$B$100:$Y$130,20,FALSE))</f>
        <v/>
      </c>
      <c r="H28" s="91" t="str">
        <f>IF(E28="","",VLOOKUP($B28,$B$100:$Y$130,10,FALSE))</f>
        <v/>
      </c>
      <c r="I28" s="91" t="str">
        <f>IF(E28="","",VLOOKUP($B28,$B$100:$Y$130,23,FALSE))</f>
        <v/>
      </c>
      <c r="J28" s="91" t="str">
        <f>IF(E28="","",VLOOKUP($B28,$B$100:$Y$130,24,FALSE))</f>
        <v/>
      </c>
      <c r="K28" s="59"/>
      <c r="AB28" s="1"/>
      <c r="AC28" s="1"/>
      <c r="AD28" s="1"/>
      <c r="AE28" s="1"/>
      <c r="AF28" s="1"/>
      <c r="AG28" s="1"/>
    </row>
    <row r="29" spans="2:33" s="3" customFormat="1" ht="18.75" customHeight="1" thickBot="1" x14ac:dyDescent="0.3">
      <c r="B29" s="200"/>
      <c r="C29" s="202"/>
      <c r="D29" s="200"/>
      <c r="E29" s="301"/>
      <c r="F29" s="301"/>
      <c r="G29" s="301"/>
      <c r="H29" s="301"/>
      <c r="I29" s="301"/>
      <c r="J29" s="301"/>
      <c r="K29" s="59"/>
    </row>
    <row r="30" spans="2:33" s="3" customFormat="1" ht="15.75" customHeight="1" x14ac:dyDescent="0.25">
      <c r="B30" s="574" t="s">
        <v>206</v>
      </c>
      <c r="C30" s="575"/>
      <c r="D30" s="576"/>
      <c r="E30" s="340" t="s">
        <v>120</v>
      </c>
      <c r="F30" s="336" t="s">
        <v>104</v>
      </c>
      <c r="G30" s="336" t="s">
        <v>107</v>
      </c>
      <c r="H30" s="336" t="s">
        <v>105</v>
      </c>
      <c r="I30" s="570" t="s">
        <v>102</v>
      </c>
      <c r="J30" s="571"/>
      <c r="K30" s="59"/>
    </row>
    <row r="31" spans="2:33" s="3" customFormat="1" ht="19.5" customHeight="1" x14ac:dyDescent="0.25">
      <c r="B31" s="577"/>
      <c r="C31" s="578"/>
      <c r="D31" s="579"/>
      <c r="E31" s="341" t="s">
        <v>123</v>
      </c>
      <c r="F31" s="337" t="s">
        <v>122</v>
      </c>
      <c r="G31" s="337" t="s">
        <v>203</v>
      </c>
      <c r="H31" s="337" t="s">
        <v>106</v>
      </c>
      <c r="I31" s="572" t="s">
        <v>38</v>
      </c>
      <c r="J31" s="520" t="s">
        <v>196</v>
      </c>
      <c r="K31" s="59"/>
    </row>
    <row r="32" spans="2:33" s="3" customFormat="1" ht="26.25" customHeight="1" thickBot="1" x14ac:dyDescent="0.3">
      <c r="B32" s="580"/>
      <c r="C32" s="581"/>
      <c r="D32" s="582"/>
      <c r="E32" s="338" t="s">
        <v>152</v>
      </c>
      <c r="F32" s="338"/>
      <c r="G32" s="338"/>
      <c r="H32" s="338"/>
      <c r="I32" s="573"/>
      <c r="J32" s="521"/>
      <c r="K32" s="59"/>
    </row>
    <row r="33" spans="2:35" s="3" customFormat="1" ht="16.5" thickTop="1" x14ac:dyDescent="0.25">
      <c r="B33" s="560"/>
      <c r="C33" s="561"/>
      <c r="D33" s="562"/>
      <c r="E33" s="65" t="str">
        <f t="shared" ref="E33:E38" si="0">IF(B33="","",VLOOKUP($B33,$B$163:$Y$196,6,FALSE))</f>
        <v/>
      </c>
      <c r="F33" s="88" t="str">
        <f>IF(B33="","",VLOOKUP($B33,$B$163:$Y$196,9,FALSE))</f>
        <v/>
      </c>
      <c r="G33" s="87" t="str">
        <f>IF(B33="","",VLOOKUP($B33,$B$163:$Y$196,20,FALSE))</f>
        <v/>
      </c>
      <c r="H33" s="87" t="str">
        <f>IF(B33="","",VLOOKUP($B33,$B$163:$Y$196,10,FALSE))</f>
        <v/>
      </c>
      <c r="I33" s="416" t="str">
        <f>IF(B33="","",VLOOKUP($B33,$B$163:$Y$196,23,FALSE))</f>
        <v/>
      </c>
      <c r="J33" s="417" t="str">
        <f>IF(B33="","",VLOOKUP($B33,$B$163:$Y$196,24,FALSE))</f>
        <v/>
      </c>
      <c r="K33" s="59"/>
      <c r="R33" s="152"/>
    </row>
    <row r="34" spans="2:35" s="3" customFormat="1" ht="15.75" x14ac:dyDescent="0.25">
      <c r="B34" s="515"/>
      <c r="C34" s="516"/>
      <c r="D34" s="517"/>
      <c r="E34" s="65" t="str">
        <f t="shared" si="0"/>
        <v/>
      </c>
      <c r="F34" s="88" t="str">
        <f>IF(B34="","",VLOOKUP($B34,$B$163:$Y$196,9,FALSE))</f>
        <v/>
      </c>
      <c r="G34" s="87" t="str">
        <f>IF(B34="","",VLOOKUP($B34,$B$163:$Y$196,20,FALSE))</f>
        <v/>
      </c>
      <c r="H34" s="87" t="str">
        <f>IF(B34="","",VLOOKUP($B34,$B$163:$Y$196,10,FALSE))</f>
        <v/>
      </c>
      <c r="I34" s="416" t="str">
        <f>IF(B34="","",VLOOKUP($B34,$B$163:$Y$196,23,FALSE))</f>
        <v/>
      </c>
      <c r="J34" s="417" t="str">
        <f>IF(B34="","",VLOOKUP($B34,$B$163:$Y$196,24,FALSE))</f>
        <v/>
      </c>
      <c r="K34" s="59"/>
      <c r="R34" s="152"/>
    </row>
    <row r="35" spans="2:35" s="3" customFormat="1" ht="16.5" thickBot="1" x14ac:dyDescent="0.3">
      <c r="B35" s="556"/>
      <c r="C35" s="557"/>
      <c r="D35" s="558"/>
      <c r="E35" s="65" t="str">
        <f t="shared" si="0"/>
        <v/>
      </c>
      <c r="F35" s="88" t="str">
        <f>IF(B35="","",VLOOKUP($B35,$B$163:$Y$196,9,FALSE))</f>
        <v/>
      </c>
      <c r="G35" s="87" t="str">
        <f>IF(B35="","",VLOOKUP($B35,$B$163:$Y$196,20,FALSE))</f>
        <v/>
      </c>
      <c r="H35" s="87" t="str">
        <f>IF(B35="","",VLOOKUP($B35,$B$163:$Y$196,10,FALSE))</f>
        <v/>
      </c>
      <c r="I35" s="416" t="str">
        <f>IF(B35="","",VLOOKUP($B35,$B$163:$Y$196,23,FALSE))</f>
        <v/>
      </c>
      <c r="J35" s="417" t="str">
        <f>IF(B35="","",VLOOKUP($B35,$B$163:$Y$196,24,FALSE))</f>
        <v/>
      </c>
      <c r="K35" s="59"/>
      <c r="R35" s="152"/>
    </row>
    <row r="36" spans="2:35" s="3" customFormat="1" ht="18" customHeight="1" x14ac:dyDescent="0.25">
      <c r="B36" s="515"/>
      <c r="C36" s="516"/>
      <c r="D36" s="517"/>
      <c r="E36" s="65" t="str">
        <f t="shared" si="0"/>
        <v/>
      </c>
      <c r="F36" s="88" t="str">
        <f>IF(B36="","",VLOOKUP($B36,$B$163:$Y$196,9,FALSE))</f>
        <v/>
      </c>
      <c r="G36" s="87" t="str">
        <f>IF(B36="","",VLOOKUP($B36,$B$163:$Y$196,20,FALSE))</f>
        <v/>
      </c>
      <c r="H36" s="87" t="str">
        <f>IF(B36="","",VLOOKUP($B36,$B$163:$Y$196,10,FALSE))</f>
        <v/>
      </c>
      <c r="I36" s="416" t="str">
        <f>IF(B36="","",VLOOKUP($B36,$B$163:$Y$196,23,FALSE))</f>
        <v/>
      </c>
      <c r="J36" s="417" t="str">
        <f>IF(B36="","",VLOOKUP($B36,$B$163:$Y$196,24,FALSE))</f>
        <v/>
      </c>
      <c r="K36" s="59"/>
      <c r="R36" s="215"/>
      <c r="AI36" s="193" t="s">
        <v>134</v>
      </c>
    </row>
    <row r="37" spans="2:35" s="3" customFormat="1" ht="15.75" customHeight="1" thickBot="1" x14ac:dyDescent="0.3">
      <c r="B37" s="564"/>
      <c r="C37" s="565"/>
      <c r="D37" s="566"/>
      <c r="E37" s="310" t="str">
        <f t="shared" si="0"/>
        <v/>
      </c>
      <c r="F37" s="217" t="str">
        <f>IF(B37="","",VLOOKUP($B37,$B$163:$Y$196,9,FALSE))</f>
        <v/>
      </c>
      <c r="G37" s="218" t="str">
        <f>IF(B37="","",VLOOKUP($B37,$B$163:$Y$196,20,FALSE))</f>
        <v/>
      </c>
      <c r="H37" s="218" t="str">
        <f>IF(B37="","",VLOOKUP($B37,$B$163:$Y$196,10,FALSE))</f>
        <v/>
      </c>
      <c r="I37" s="418" t="str">
        <f>IF(B37="","",VLOOKUP($B37,$B$163:$Y$196,23,FALSE))</f>
        <v/>
      </c>
      <c r="J37" s="419" t="str">
        <f>IF(B37="","",VLOOKUP($B37,$B$163:$Y$196,24,FALSE))</f>
        <v/>
      </c>
      <c r="K37" s="59"/>
      <c r="R37" s="215"/>
      <c r="AI37" s="194" t="s">
        <v>135</v>
      </c>
    </row>
    <row r="38" spans="2:35" s="3" customFormat="1" ht="2.25" customHeight="1" thickBot="1" x14ac:dyDescent="0.3">
      <c r="B38" s="518" t="s">
        <v>103</v>
      </c>
      <c r="C38" s="519"/>
      <c r="D38" s="519"/>
      <c r="E38" s="65" t="str">
        <f t="shared" si="0"/>
        <v/>
      </c>
      <c r="F38" s="88" t="str">
        <f>VLOOKUP($B38,$B$163:$Y$196,9,FALSE)</f>
        <v/>
      </c>
      <c r="G38" s="219" t="str">
        <f>VLOOKUP($B38,$B$163:$Y$196,11,FALSE)</f>
        <v/>
      </c>
      <c r="H38" s="87" t="str">
        <f>VLOOKUP($B38,$B$163:$Y$196,20,FALSE)</f>
        <v/>
      </c>
      <c r="I38" s="87" t="str">
        <f t="shared" ref="I38" si="1">IF(B38="","",VLOOKUP($B38,$B$163:$Y$196,10,FALSE))</f>
        <v/>
      </c>
      <c r="J38" s="87" t="str">
        <f t="shared" ref="J38" si="2">IF(B38="","",VLOOKUP($B38,$B$163:$Y$196,23,FALSE))</f>
        <v/>
      </c>
      <c r="K38" s="87"/>
      <c r="L38" s="216"/>
      <c r="R38" s="4"/>
      <c r="AI38" s="197" t="s">
        <v>136</v>
      </c>
    </row>
    <row r="39" spans="2:35" s="3" customFormat="1" ht="16.5" thickTop="1" x14ac:dyDescent="0.25">
      <c r="B39" s="4"/>
      <c r="C39" s="4"/>
      <c r="D39" s="4"/>
      <c r="E39" s="4"/>
      <c r="F39" s="4"/>
      <c r="G39" s="4"/>
      <c r="H39" s="4"/>
      <c r="I39" s="4"/>
      <c r="J39" s="4"/>
      <c r="AI39" s="195"/>
    </row>
    <row r="40" spans="2:35" s="3" customFormat="1" ht="15.75" x14ac:dyDescent="0.25">
      <c r="B40" s="4"/>
      <c r="C40" s="4"/>
      <c r="D40" s="4"/>
      <c r="E40" s="4"/>
      <c r="F40" s="4"/>
      <c r="G40" s="4"/>
      <c r="H40" s="4"/>
      <c r="I40" s="4"/>
      <c r="J40" s="4"/>
      <c r="AI40" s="195"/>
    </row>
    <row r="41" spans="2:35" s="3" customFormat="1" ht="15.75" x14ac:dyDescent="0.25">
      <c r="B41" s="4"/>
      <c r="C41" s="4"/>
      <c r="D41" s="4"/>
      <c r="E41" s="4"/>
      <c r="F41" s="4"/>
      <c r="G41" s="4"/>
      <c r="H41" s="4"/>
      <c r="I41" s="4"/>
      <c r="J41" s="4"/>
      <c r="AI41" s="195"/>
    </row>
    <row r="42" spans="2:35" s="3" customFormat="1" ht="15.75" x14ac:dyDescent="0.25">
      <c r="B42" s="4"/>
      <c r="C42" s="4"/>
      <c r="D42" s="4"/>
      <c r="E42" s="4"/>
      <c r="F42" s="4"/>
      <c r="G42" s="4"/>
      <c r="H42" s="4"/>
      <c r="I42" s="4"/>
      <c r="J42" s="4"/>
      <c r="AI42" s="195"/>
    </row>
    <row r="43" spans="2:35" s="3" customFormat="1" ht="15.75" x14ac:dyDescent="0.25">
      <c r="B43" s="4"/>
      <c r="C43" s="4"/>
      <c r="D43" s="4"/>
      <c r="E43" s="4"/>
      <c r="F43" s="4"/>
      <c r="G43" s="4"/>
      <c r="H43" s="4"/>
      <c r="I43" s="4"/>
      <c r="J43" s="4"/>
      <c r="AI43" s="195"/>
    </row>
    <row r="44" spans="2:35" s="3" customFormat="1" ht="15.75" x14ac:dyDescent="0.25">
      <c r="B44" s="4"/>
      <c r="C44" s="4"/>
      <c r="D44" s="4"/>
      <c r="E44" s="4"/>
      <c r="F44" s="4"/>
      <c r="G44" s="4"/>
      <c r="H44" s="4"/>
      <c r="I44" s="4"/>
      <c r="J44" s="4"/>
      <c r="AI44" s="195"/>
    </row>
    <row r="45" spans="2:35" s="3" customFormat="1" ht="15.75" x14ac:dyDescent="0.25">
      <c r="AI45" s="196" t="e">
        <f>IF(AH51="","",#REF!-AH51)</f>
        <v>#REF!</v>
      </c>
    </row>
    <row r="46" spans="2:35" s="3" customFormat="1" ht="16.5" thickBot="1" x14ac:dyDescent="0.3">
      <c r="Y46" s="4"/>
      <c r="AI46" s="196" t="e">
        <f>IF(AH52="","",#REF!-AH52)</f>
        <v>#REF!</v>
      </c>
    </row>
    <row r="47" spans="2:35" s="3" customFormat="1" ht="21" customHeight="1" thickBot="1" x14ac:dyDescent="0.35">
      <c r="B47" s="563" t="s">
        <v>124</v>
      </c>
      <c r="C47" s="563"/>
      <c r="D47" s="563"/>
      <c r="E47" s="563"/>
      <c r="R47" s="606" t="s">
        <v>155</v>
      </c>
      <c r="S47" s="607"/>
      <c r="T47" s="607"/>
      <c r="U47" s="607"/>
      <c r="V47" s="607"/>
      <c r="W47" s="607"/>
      <c r="X47" s="607"/>
      <c r="Y47" s="607"/>
      <c r="Z47" s="608"/>
      <c r="AB47" s="488"/>
      <c r="AC47" s="489" t="s">
        <v>120</v>
      </c>
      <c r="AD47" s="490" t="s">
        <v>104</v>
      </c>
      <c r="AE47" s="490" t="s">
        <v>107</v>
      </c>
      <c r="AF47" s="490" t="s">
        <v>105</v>
      </c>
      <c r="AG47" s="490" t="s">
        <v>102</v>
      </c>
      <c r="AH47" s="490"/>
      <c r="AI47" s="486" t="e">
        <f>IF(AH53="","",#REF!-AH53)</f>
        <v>#REF!</v>
      </c>
    </row>
    <row r="48" spans="2:35" s="3" customFormat="1" ht="20.25" customHeight="1" x14ac:dyDescent="0.3">
      <c r="B48" s="174"/>
      <c r="C48" s="169"/>
      <c r="D48" s="169"/>
      <c r="E48" s="352"/>
      <c r="F48" s="352"/>
      <c r="G48" s="352"/>
      <c r="H48" s="352"/>
      <c r="I48" s="344"/>
      <c r="J48" s="354"/>
      <c r="K48" s="344"/>
      <c r="L48" s="344"/>
      <c r="M48" s="345"/>
      <c r="R48" s="609"/>
      <c r="S48" s="610"/>
      <c r="T48" s="610"/>
      <c r="U48" s="610"/>
      <c r="V48" s="610"/>
      <c r="W48" s="610"/>
      <c r="X48" s="610"/>
      <c r="Y48" s="610"/>
      <c r="Z48" s="611"/>
      <c r="AB48" s="488"/>
      <c r="AC48" s="489" t="s">
        <v>123</v>
      </c>
      <c r="AD48" s="490" t="s">
        <v>122</v>
      </c>
      <c r="AE48" s="490" t="s">
        <v>108</v>
      </c>
      <c r="AF48" s="490" t="s">
        <v>106</v>
      </c>
      <c r="AG48" s="491" t="s">
        <v>38</v>
      </c>
      <c r="AH48" s="491" t="s">
        <v>39</v>
      </c>
      <c r="AI48" s="486" t="e">
        <f>IF(AH54="","",#REF!-AH54)</f>
        <v>#REF!</v>
      </c>
    </row>
    <row r="49" spans="2:35" s="3" customFormat="1" ht="24" thickBot="1" x14ac:dyDescent="0.4">
      <c r="B49" s="535" t="s">
        <v>4</v>
      </c>
      <c r="C49" s="536"/>
      <c r="D49" s="536"/>
      <c r="E49" s="525" t="s">
        <v>74</v>
      </c>
      <c r="F49" s="526"/>
      <c r="G49" s="526"/>
      <c r="H49" s="526"/>
      <c r="I49" s="346" t="s">
        <v>5</v>
      </c>
      <c r="J49" s="355" t="s">
        <v>204</v>
      </c>
      <c r="K49" s="544" t="s">
        <v>41</v>
      </c>
      <c r="L49" s="544"/>
      <c r="M49" s="545"/>
      <c r="R49" s="612" t="s">
        <v>200</v>
      </c>
      <c r="S49" s="613"/>
      <c r="T49" s="613"/>
      <c r="U49" s="613"/>
      <c r="V49" s="613"/>
      <c r="W49" s="613"/>
      <c r="X49" s="613"/>
      <c r="Y49" s="613"/>
      <c r="Z49" s="614"/>
      <c r="AB49" s="490"/>
      <c r="AC49" s="489" t="s">
        <v>211</v>
      </c>
      <c r="AD49" s="490"/>
      <c r="AE49" s="490"/>
      <c r="AF49" s="490"/>
      <c r="AG49" s="491"/>
      <c r="AH49" s="491"/>
      <c r="AI49" s="486" t="e">
        <f>IF(#REF!="","",#REF!-#REF!)</f>
        <v>#REF!</v>
      </c>
    </row>
    <row r="50" spans="2:35" s="3" customFormat="1" ht="33" thickBot="1" x14ac:dyDescent="0.35">
      <c r="B50" s="172"/>
      <c r="C50" s="173"/>
      <c r="D50" s="173"/>
      <c r="E50" s="353" t="s">
        <v>110</v>
      </c>
      <c r="F50" s="353" t="s">
        <v>139</v>
      </c>
      <c r="G50" s="353" t="s">
        <v>138</v>
      </c>
      <c r="H50" s="353" t="s">
        <v>137</v>
      </c>
      <c r="I50" s="347" t="s">
        <v>112</v>
      </c>
      <c r="J50" s="356" t="s">
        <v>44</v>
      </c>
      <c r="K50" s="348"/>
      <c r="L50" s="348"/>
      <c r="M50" s="349"/>
      <c r="R50" s="407" t="s">
        <v>159</v>
      </c>
      <c r="S50" s="406" t="s">
        <v>197</v>
      </c>
      <c r="T50" s="406" t="s">
        <v>156</v>
      </c>
      <c r="U50" s="406" t="s">
        <v>139</v>
      </c>
      <c r="V50" s="406" t="s">
        <v>157</v>
      </c>
      <c r="W50" s="406" t="s">
        <v>137</v>
      </c>
      <c r="X50" s="423" t="s">
        <v>158</v>
      </c>
      <c r="Y50" s="431" t="s">
        <v>231</v>
      </c>
      <c r="Z50" s="430" t="s">
        <v>232</v>
      </c>
      <c r="AB50" s="490"/>
      <c r="AC50" s="492">
        <f>IF(K23="",MIN(AC51:AC53),K23)</f>
        <v>10</v>
      </c>
      <c r="AD50" s="490"/>
      <c r="AE50" s="490"/>
      <c r="AF50" s="490"/>
      <c r="AG50" s="491"/>
      <c r="AH50" s="491"/>
    </row>
    <row r="51" spans="2:35" s="3" customFormat="1" ht="19.5" thickTop="1" thickBot="1" x14ac:dyDescent="0.3">
      <c r="B51" s="527" t="s">
        <v>154</v>
      </c>
      <c r="C51" s="528"/>
      <c r="D51" s="528"/>
      <c r="E51" s="214"/>
      <c r="F51" s="214"/>
      <c r="G51" s="214"/>
      <c r="H51" s="214"/>
      <c r="I51" s="168"/>
      <c r="J51" s="214"/>
      <c r="K51" s="204"/>
      <c r="L51" s="204"/>
      <c r="M51" s="205"/>
      <c r="R51" s="272" t="s">
        <v>160</v>
      </c>
      <c r="S51" s="277">
        <v>0.59409999999999996</v>
      </c>
      <c r="T51" s="269">
        <v>43700</v>
      </c>
      <c r="U51" s="269">
        <v>39700</v>
      </c>
      <c r="V51" s="269">
        <v>35500</v>
      </c>
      <c r="W51" s="269">
        <v>31600</v>
      </c>
      <c r="X51" s="424">
        <v>48.8</v>
      </c>
      <c r="Y51" s="302">
        <v>40.6</v>
      </c>
      <c r="Z51" s="434">
        <v>34.5</v>
      </c>
      <c r="AB51" s="495" t="s">
        <v>160</v>
      </c>
      <c r="AC51" s="492">
        <f>G125</f>
        <v>13</v>
      </c>
      <c r="AD51" s="493">
        <f>J125</f>
        <v>10.6</v>
      </c>
      <c r="AE51" s="487">
        <f>$AA$51</f>
        <v>0</v>
      </c>
      <c r="AF51" s="487">
        <f>K125</f>
        <v>7329.6</v>
      </c>
      <c r="AG51" s="487">
        <f>IF(AB51="","",VLOOKUP($AB51,$B100:$Y158,23,FALSE))</f>
        <v>73296</v>
      </c>
      <c r="AH51" s="487">
        <f>AG51+$AE$51</f>
        <v>73296</v>
      </c>
    </row>
    <row r="52" spans="2:35" s="3" customFormat="1" ht="16.5" thickTop="1" x14ac:dyDescent="0.25">
      <c r="B52" s="529" t="s">
        <v>159</v>
      </c>
      <c r="C52" s="530"/>
      <c r="D52" s="531"/>
      <c r="E52" s="537"/>
      <c r="F52" s="538"/>
      <c r="G52" s="538"/>
      <c r="H52" s="538"/>
      <c r="I52" s="539"/>
      <c r="J52" s="350">
        <v>1895</v>
      </c>
      <c r="K52" s="522" t="s">
        <v>218</v>
      </c>
      <c r="L52" s="523"/>
      <c r="M52" s="524"/>
      <c r="R52" s="272" t="s">
        <v>161</v>
      </c>
      <c r="S52" s="277">
        <v>0.28610000000000002</v>
      </c>
      <c r="T52" s="269">
        <v>47400</v>
      </c>
      <c r="U52" s="269">
        <v>43900</v>
      </c>
      <c r="V52" s="269">
        <v>40200</v>
      </c>
      <c r="W52" s="269">
        <v>36300</v>
      </c>
      <c r="X52" s="424">
        <v>44.6</v>
      </c>
      <c r="Y52" s="302">
        <v>38.200000000000003</v>
      </c>
      <c r="Z52" s="434">
        <v>33.200000000000003</v>
      </c>
      <c r="AB52" s="495" t="s">
        <v>161</v>
      </c>
      <c r="AC52" s="492">
        <f>G126</f>
        <v>11</v>
      </c>
      <c r="AD52" s="493">
        <f>J126</f>
        <v>10.8</v>
      </c>
      <c r="AE52" s="487">
        <f>AA52</f>
        <v>0</v>
      </c>
      <c r="AF52" s="487">
        <f>K126</f>
        <v>7492.8</v>
      </c>
      <c r="AG52" s="487">
        <f>IF(AB52="","",VLOOKUP($AB52,$B101:$Y159,23,FALSE))</f>
        <v>74928</v>
      </c>
      <c r="AH52" s="487">
        <f>AG52+$AE$51</f>
        <v>74928</v>
      </c>
    </row>
    <row r="53" spans="2:35" s="3" customFormat="1" ht="16.5" thickBot="1" x14ac:dyDescent="0.3">
      <c r="B53" s="507" t="s">
        <v>234</v>
      </c>
      <c r="C53" s="508"/>
      <c r="D53" s="509"/>
      <c r="E53" s="540"/>
      <c r="F53" s="538"/>
      <c r="G53" s="538"/>
      <c r="H53" s="538"/>
      <c r="I53" s="539"/>
      <c r="J53" s="350">
        <v>3000</v>
      </c>
      <c r="K53" s="532" t="s">
        <v>217</v>
      </c>
      <c r="L53" s="533"/>
      <c r="M53" s="534"/>
      <c r="R53" s="273" t="s">
        <v>162</v>
      </c>
      <c r="S53" s="278">
        <v>0.1191</v>
      </c>
      <c r="T53" s="274">
        <v>52700</v>
      </c>
      <c r="U53" s="274">
        <v>49900</v>
      </c>
      <c r="V53" s="274">
        <v>46400</v>
      </c>
      <c r="W53" s="274">
        <v>43000</v>
      </c>
      <c r="X53" s="425">
        <v>39.9</v>
      </c>
      <c r="Y53" s="436">
        <v>34.5</v>
      </c>
      <c r="Z53" s="435">
        <v>30.4</v>
      </c>
      <c r="AB53" s="495" t="s">
        <v>162</v>
      </c>
      <c r="AC53" s="492">
        <f>IF(H127=0,G127,H127)</f>
        <v>10</v>
      </c>
      <c r="AD53" s="493">
        <f>J127</f>
        <v>12.5</v>
      </c>
      <c r="AE53" s="487">
        <f>AA53</f>
        <v>0</v>
      </c>
      <c r="AF53" s="487">
        <f>K127</f>
        <v>8665</v>
      </c>
      <c r="AG53" s="487">
        <f>IF(AB53="","",VLOOKUP($AB53,$B102:$Y160,23,FALSE))</f>
        <v>86650</v>
      </c>
      <c r="AH53" s="487">
        <f>AG53+$AE$51</f>
        <v>86650</v>
      </c>
    </row>
    <row r="54" spans="2:35" s="3" customFormat="1" ht="15.75" x14ac:dyDescent="0.25">
      <c r="B54" s="507" t="s">
        <v>193</v>
      </c>
      <c r="C54" s="508"/>
      <c r="D54" s="509"/>
      <c r="E54" s="540"/>
      <c r="F54" s="538"/>
      <c r="G54" s="538"/>
      <c r="H54" s="538"/>
      <c r="I54" s="539"/>
      <c r="J54" s="350">
        <v>3717</v>
      </c>
      <c r="K54" s="532" t="s">
        <v>215</v>
      </c>
      <c r="L54" s="533"/>
      <c r="M54" s="534"/>
      <c r="R54" s="267"/>
      <c r="S54" s="279"/>
      <c r="T54" s="206"/>
      <c r="U54" s="206"/>
      <c r="V54" s="206"/>
      <c r="W54" s="206"/>
      <c r="X54" s="206"/>
      <c r="Y54" s="4"/>
      <c r="Z54" s="422"/>
      <c r="AB54" s="496" t="s">
        <v>159</v>
      </c>
      <c r="AC54" s="497">
        <f>AC50</f>
        <v>10</v>
      </c>
      <c r="AD54" s="497">
        <f>(AD51*S51)+(AD52*S52)+(AD53*S53)</f>
        <v>10.87609</v>
      </c>
      <c r="AE54" s="487">
        <f>AC54*$J$52</f>
        <v>18950</v>
      </c>
      <c r="AF54" s="498">
        <f>(AF51*S51)+(AF52*S52)+(AF53*S53)</f>
        <v>7530.2069400000009</v>
      </c>
      <c r="AG54" s="487">
        <f>AF54*10</f>
        <v>75302.069400000008</v>
      </c>
      <c r="AH54" s="494">
        <f>AG54+AE54</f>
        <v>94252.069400000008</v>
      </c>
    </row>
    <row r="55" spans="2:35" s="3" customFormat="1" ht="16.5" thickBot="1" x14ac:dyDescent="0.3">
      <c r="B55" s="507" t="s">
        <v>207</v>
      </c>
      <c r="C55" s="508"/>
      <c r="D55" s="509"/>
      <c r="E55" s="540"/>
      <c r="F55" s="538"/>
      <c r="G55" s="538"/>
      <c r="H55" s="538"/>
      <c r="I55" s="539"/>
      <c r="J55" s="350">
        <v>2800</v>
      </c>
      <c r="K55" s="532" t="s">
        <v>214</v>
      </c>
      <c r="L55" s="533"/>
      <c r="M55" s="534"/>
      <c r="Q55" s="67"/>
      <c r="R55" s="268"/>
      <c r="S55" s="280"/>
      <c r="T55" s="220"/>
      <c r="U55" s="220"/>
      <c r="V55" s="220"/>
      <c r="W55" s="220"/>
      <c r="X55" s="220"/>
      <c r="Y55" s="4"/>
      <c r="Z55" s="422"/>
      <c r="AB55" s="492"/>
      <c r="AC55" s="492"/>
      <c r="AD55" s="492"/>
      <c r="AE55" s="493"/>
      <c r="AF55" s="487"/>
      <c r="AG55" s="487"/>
      <c r="AH55" s="487"/>
    </row>
    <row r="56" spans="2:35" s="3" customFormat="1" ht="15.75" x14ac:dyDescent="0.25">
      <c r="B56" s="507" t="s">
        <v>195</v>
      </c>
      <c r="C56" s="508"/>
      <c r="D56" s="509"/>
      <c r="E56" s="541"/>
      <c r="F56" s="542"/>
      <c r="G56" s="542"/>
      <c r="H56" s="542"/>
      <c r="I56" s="543"/>
      <c r="J56" s="350">
        <v>3000</v>
      </c>
      <c r="K56" s="532" t="s">
        <v>216</v>
      </c>
      <c r="L56" s="533"/>
      <c r="M56" s="534"/>
      <c r="Q56" s="67"/>
      <c r="R56" s="407" t="s">
        <v>193</v>
      </c>
      <c r="S56" s="405" t="s">
        <v>197</v>
      </c>
      <c r="T56" s="406" t="s">
        <v>156</v>
      </c>
      <c r="U56" s="406" t="s">
        <v>139</v>
      </c>
      <c r="V56" s="406" t="s">
        <v>157</v>
      </c>
      <c r="W56" s="406" t="s">
        <v>137</v>
      </c>
      <c r="X56" s="423" t="s">
        <v>158</v>
      </c>
      <c r="Y56" s="431" t="s">
        <v>231</v>
      </c>
      <c r="Z56" s="430" t="s">
        <v>232</v>
      </c>
      <c r="AB56" s="496" t="s">
        <v>193</v>
      </c>
      <c r="AC56" s="497">
        <f>AC60</f>
        <v>8</v>
      </c>
      <c r="AD56" s="497">
        <f>(AD57*S57)+(AD58*S58)+(AD59*S59)+(AD60*S60)</f>
        <v>10.915609999999999</v>
      </c>
      <c r="AE56" s="487">
        <f>$J$54*AC56</f>
        <v>29736</v>
      </c>
      <c r="AF56" s="498">
        <f>(AF57*S57)+(AF58*S58)+(AF59*S59)+(AF60*S60)</f>
        <v>7558.3772600000002</v>
      </c>
      <c r="AG56" s="498">
        <f>AF56*10</f>
        <v>75583.772599999997</v>
      </c>
      <c r="AH56" s="494">
        <f>AG56+AE56</f>
        <v>105319.7726</v>
      </c>
    </row>
    <row r="57" spans="2:35" s="3" customFormat="1" ht="19.5" customHeight="1" x14ac:dyDescent="0.25">
      <c r="B57" s="552"/>
      <c r="C57" s="553"/>
      <c r="D57" s="554"/>
      <c r="E57" s="203"/>
      <c r="F57" s="203"/>
      <c r="G57" s="203"/>
      <c r="H57" s="203"/>
      <c r="I57" s="203"/>
      <c r="J57" s="203"/>
      <c r="K57" s="208"/>
      <c r="L57" s="209"/>
      <c r="M57" s="210"/>
      <c r="Q57" s="67"/>
      <c r="R57" s="272" t="s">
        <v>163</v>
      </c>
      <c r="S57" s="277">
        <v>0.43969999999999998</v>
      </c>
      <c r="T57" s="269">
        <v>43800</v>
      </c>
      <c r="U57" s="269">
        <v>40000</v>
      </c>
      <c r="V57" s="269">
        <v>35700</v>
      </c>
      <c r="W57" s="269">
        <v>31600</v>
      </c>
      <c r="X57" s="424">
        <v>51.3</v>
      </c>
      <c r="Y57" s="441">
        <v>42.9</v>
      </c>
      <c r="Z57" s="444">
        <v>36.6</v>
      </c>
      <c r="AB57" s="495" t="s">
        <v>163</v>
      </c>
      <c r="AC57" s="492">
        <f>G128</f>
        <v>13</v>
      </c>
      <c r="AD57" s="493">
        <f>J128</f>
        <v>10.1</v>
      </c>
      <c r="AE57" s="487">
        <f>$AA$56</f>
        <v>0</v>
      </c>
      <c r="AF57" s="487">
        <f>K128</f>
        <v>7016.6</v>
      </c>
      <c r="AG57" s="487">
        <f>IF(AB57="","",VLOOKUP($AB57,$B106:$Y164,23,FALSE))</f>
        <v>70166</v>
      </c>
      <c r="AH57" s="487">
        <f>AG57+$AE$51</f>
        <v>70166</v>
      </c>
    </row>
    <row r="58" spans="2:35" s="3" customFormat="1" ht="18" x14ac:dyDescent="0.25">
      <c r="B58" s="549" t="s">
        <v>153</v>
      </c>
      <c r="C58" s="550"/>
      <c r="D58" s="551"/>
      <c r="E58" s="203"/>
      <c r="F58" s="203"/>
      <c r="G58" s="203"/>
      <c r="H58" s="203"/>
      <c r="I58" s="203"/>
      <c r="J58" s="203"/>
      <c r="K58" s="208"/>
      <c r="L58" s="209"/>
      <c r="M58" s="210"/>
      <c r="Q58" s="67"/>
      <c r="R58" s="272" t="s">
        <v>164</v>
      </c>
      <c r="S58" s="277">
        <v>0.2676</v>
      </c>
      <c r="T58" s="269">
        <v>47400</v>
      </c>
      <c r="U58" s="269">
        <v>44000</v>
      </c>
      <c r="V58" s="269">
        <v>40300</v>
      </c>
      <c r="W58" s="269">
        <v>36600</v>
      </c>
      <c r="X58" s="424">
        <v>47.2</v>
      </c>
      <c r="Y58" s="441">
        <v>39.9</v>
      </c>
      <c r="Z58" s="444">
        <v>34.4</v>
      </c>
      <c r="AB58" s="495" t="s">
        <v>164</v>
      </c>
      <c r="AC58" s="492">
        <f>G129</f>
        <v>11</v>
      </c>
      <c r="AD58" s="493">
        <f>J129</f>
        <v>10.3</v>
      </c>
      <c r="AE58" s="487">
        <f>AA58</f>
        <v>0</v>
      </c>
      <c r="AF58" s="487">
        <f>K129</f>
        <v>7109.8</v>
      </c>
      <c r="AG58" s="487">
        <f>IF(AB58="","",VLOOKUP($AB58,$B107:$Y165,23,FALSE))</f>
        <v>71098</v>
      </c>
      <c r="AH58" s="487">
        <f>AG58+$AE$51</f>
        <v>71098</v>
      </c>
    </row>
    <row r="59" spans="2:35" s="3" customFormat="1" ht="15.75" x14ac:dyDescent="0.25">
      <c r="B59" s="505" t="s">
        <v>63</v>
      </c>
      <c r="C59" s="506"/>
      <c r="D59" s="506"/>
      <c r="E59" s="162">
        <v>46553</v>
      </c>
      <c r="F59" s="162">
        <v>43665</v>
      </c>
      <c r="G59" s="163">
        <v>40946</v>
      </c>
      <c r="H59" s="163">
        <v>37548</v>
      </c>
      <c r="I59" s="164">
        <v>35</v>
      </c>
      <c r="J59" s="350">
        <v>1500</v>
      </c>
      <c r="K59" s="546" t="s">
        <v>45</v>
      </c>
      <c r="L59" s="547"/>
      <c r="M59" s="548"/>
      <c r="Q59" s="67"/>
      <c r="R59" s="272" t="s">
        <v>165</v>
      </c>
      <c r="S59" s="277">
        <v>0.21179999999999999</v>
      </c>
      <c r="T59" s="269">
        <v>52700</v>
      </c>
      <c r="U59" s="269">
        <v>49800</v>
      </c>
      <c r="V59" s="269">
        <v>46600</v>
      </c>
      <c r="W59" s="269">
        <v>43200</v>
      </c>
      <c r="X59" s="424">
        <v>41.6</v>
      </c>
      <c r="Y59" s="441">
        <v>36.6</v>
      </c>
      <c r="Z59" s="444">
        <v>32</v>
      </c>
      <c r="AB59" s="495" t="s">
        <v>165</v>
      </c>
      <c r="AC59" s="492">
        <f>G130</f>
        <v>10</v>
      </c>
      <c r="AD59" s="493">
        <f>J130</f>
        <v>12</v>
      </c>
      <c r="AE59" s="487">
        <f>AA59</f>
        <v>0</v>
      </c>
      <c r="AF59" s="487">
        <f>K130</f>
        <v>8292</v>
      </c>
      <c r="AG59" s="487">
        <f>IF(AB59="","",VLOOKUP($AB59,$B108:$Y166,23,FALSE))</f>
        <v>82920</v>
      </c>
      <c r="AH59" s="487">
        <f>AG59+$AE$51</f>
        <v>82920</v>
      </c>
    </row>
    <row r="60" spans="2:35" s="3" customFormat="1" ht="16.5" thickBot="1" x14ac:dyDescent="0.3">
      <c r="B60" s="505" t="s">
        <v>64</v>
      </c>
      <c r="C60" s="506"/>
      <c r="D60" s="506"/>
      <c r="E60" s="162">
        <v>46720</v>
      </c>
      <c r="F60" s="162">
        <v>43665</v>
      </c>
      <c r="G60" s="163">
        <v>39925</v>
      </c>
      <c r="H60" s="163">
        <v>35850</v>
      </c>
      <c r="I60" s="164">
        <v>32.799999999999997</v>
      </c>
      <c r="J60" s="350">
        <v>1499</v>
      </c>
      <c r="K60" s="546" t="s">
        <v>52</v>
      </c>
      <c r="L60" s="547"/>
      <c r="M60" s="548"/>
      <c r="Q60" s="67"/>
      <c r="R60" s="273" t="s">
        <v>166</v>
      </c>
      <c r="S60" s="278">
        <v>8.0600000000000005E-2</v>
      </c>
      <c r="T60" s="274">
        <v>63200</v>
      </c>
      <c r="U60" s="274">
        <v>60900</v>
      </c>
      <c r="V60" s="274">
        <v>58400</v>
      </c>
      <c r="W60" s="274">
        <v>55500</v>
      </c>
      <c r="X60" s="425">
        <v>33.4</v>
      </c>
      <c r="Y60" s="445">
        <v>30.3</v>
      </c>
      <c r="Z60" s="446">
        <v>27.2</v>
      </c>
      <c r="AB60" s="495" t="s">
        <v>166</v>
      </c>
      <c r="AC60" s="492">
        <f>IF(H131=0,G131,H131)</f>
        <v>8</v>
      </c>
      <c r="AD60" s="493">
        <f>J131</f>
        <v>14.6</v>
      </c>
      <c r="AE60" s="487">
        <f>AA60</f>
        <v>0</v>
      </c>
      <c r="AF60" s="487">
        <f>K131</f>
        <v>10103.6</v>
      </c>
      <c r="AG60" s="487">
        <f>IF(AB60="","",VLOOKUP($AB60,$B109:$Y167,23,FALSE))</f>
        <v>101036</v>
      </c>
      <c r="AH60" s="487">
        <f>AG60+$AE$51</f>
        <v>101036</v>
      </c>
    </row>
    <row r="61" spans="2:35" s="3" customFormat="1" ht="16.5" thickBot="1" x14ac:dyDescent="0.3">
      <c r="B61" s="505" t="s">
        <v>65</v>
      </c>
      <c r="C61" s="506"/>
      <c r="D61" s="506"/>
      <c r="E61" s="162">
        <v>43665</v>
      </c>
      <c r="F61" s="162">
        <v>40605</v>
      </c>
      <c r="G61" s="163">
        <v>37038</v>
      </c>
      <c r="H61" s="163">
        <v>32790</v>
      </c>
      <c r="I61" s="164">
        <v>32.96</v>
      </c>
      <c r="J61" s="350">
        <v>1984</v>
      </c>
      <c r="K61" s="546" t="s">
        <v>53</v>
      </c>
      <c r="L61" s="547"/>
      <c r="M61" s="548"/>
      <c r="Q61" s="67"/>
      <c r="R61" s="268"/>
      <c r="S61" s="280"/>
      <c r="T61" s="220"/>
      <c r="U61" s="220"/>
      <c r="V61" s="220"/>
      <c r="W61" s="220"/>
      <c r="X61" s="220"/>
      <c r="Y61" s="447"/>
      <c r="Z61" s="448"/>
      <c r="AB61" s="497"/>
      <c r="AC61" s="497"/>
      <c r="AD61" s="499"/>
      <c r="AE61" s="499"/>
      <c r="AF61" s="499"/>
      <c r="AG61" s="499"/>
      <c r="AH61" s="499"/>
    </row>
    <row r="62" spans="2:35" s="3" customFormat="1" ht="15.75" x14ac:dyDescent="0.25">
      <c r="B62" s="505" t="s">
        <v>66</v>
      </c>
      <c r="C62" s="506"/>
      <c r="D62" s="506"/>
      <c r="E62" s="162">
        <v>45363</v>
      </c>
      <c r="F62" s="162">
        <v>42645</v>
      </c>
      <c r="G62" s="163">
        <v>39417</v>
      </c>
      <c r="H62" s="163">
        <v>35509</v>
      </c>
      <c r="I62" s="164">
        <v>41.14</v>
      </c>
      <c r="J62" s="350">
        <v>1954</v>
      </c>
      <c r="K62" s="546" t="s">
        <v>46</v>
      </c>
      <c r="L62" s="547"/>
      <c r="M62" s="548"/>
      <c r="Q62" s="67"/>
      <c r="R62" s="407" t="s">
        <v>234</v>
      </c>
      <c r="S62" s="405" t="s">
        <v>197</v>
      </c>
      <c r="T62" s="406" t="s">
        <v>156</v>
      </c>
      <c r="U62" s="406" t="s">
        <v>139</v>
      </c>
      <c r="V62" s="406" t="s">
        <v>157</v>
      </c>
      <c r="W62" s="406" t="s">
        <v>137</v>
      </c>
      <c r="X62" s="423" t="s">
        <v>158</v>
      </c>
      <c r="Y62" s="449" t="s">
        <v>231</v>
      </c>
      <c r="Z62" s="450" t="s">
        <v>232</v>
      </c>
      <c r="AB62" s="496" t="s">
        <v>234</v>
      </c>
      <c r="AC62" s="497">
        <f>AC64</f>
        <v>8</v>
      </c>
      <c r="AD62" s="497">
        <f>(AD64*S77)+(AD65*S76)+(AD66*S75)+(AD67*S74)+(AD68*S73)+(AD69*S72)+(AD70*S71)+(AD71*S70)+(AD72*S69)+(AD73*S68)+(AD74*S67)+(AD75*S66)+(AD76*S65)+(AD77*S64)+(AD78*S63)</f>
        <v>8.5397600764425654</v>
      </c>
      <c r="AE62" s="487">
        <f>$J$53*AC62</f>
        <v>24000</v>
      </c>
      <c r="AF62" s="498">
        <f>(AF64*S77)+(AF65*S76)+(AF66*S75)+(AF67*S74)+(AF68*S73)+(AF69*S72)+(AF70*S71)+(AF71*S70)+(AF72*S69)+(AF73*S68)+(AF74*S67)+(AF75*S66)+(AF76*S65)+(AF77*S64)+(AF78*S63)</f>
        <v>5921.7202749082926</v>
      </c>
      <c r="AG62" s="498">
        <f>AF62*10</f>
        <v>59217.202749082928</v>
      </c>
      <c r="AH62" s="494">
        <f>AG62+AE62</f>
        <v>83217.202749082935</v>
      </c>
    </row>
    <row r="63" spans="2:35" s="3" customFormat="1" ht="15.75" x14ac:dyDescent="0.25">
      <c r="B63" s="505" t="s">
        <v>43</v>
      </c>
      <c r="C63" s="506"/>
      <c r="D63" s="506"/>
      <c r="E63" s="162">
        <v>32978</v>
      </c>
      <c r="F63" s="162">
        <v>30786</v>
      </c>
      <c r="G63" s="163">
        <v>27713</v>
      </c>
      <c r="H63" s="163">
        <v>24365</v>
      </c>
      <c r="I63" s="164">
        <v>26.5</v>
      </c>
      <c r="J63" s="350">
        <v>950</v>
      </c>
      <c r="K63" s="546" t="s">
        <v>145</v>
      </c>
      <c r="L63" s="547"/>
      <c r="M63" s="548"/>
      <c r="Q63" s="67"/>
      <c r="R63" s="469" t="s">
        <v>167</v>
      </c>
      <c r="S63" s="470">
        <v>0.17645975936843467</v>
      </c>
      <c r="T63" s="471">
        <v>28173</v>
      </c>
      <c r="U63" s="472">
        <v>21291</v>
      </c>
      <c r="V63" s="473">
        <v>15468.970099999999</v>
      </c>
      <c r="W63" s="473">
        <v>3713.75</v>
      </c>
      <c r="X63" s="474">
        <v>73.41724137931034</v>
      </c>
      <c r="Y63" s="475">
        <v>37.717899999999972</v>
      </c>
      <c r="Z63" s="476">
        <v>37.717899999999972</v>
      </c>
      <c r="AB63" s="497"/>
      <c r="AC63" s="497"/>
      <c r="AD63" s="499"/>
      <c r="AE63" s="499"/>
      <c r="AF63" s="499"/>
      <c r="AG63" s="499"/>
      <c r="AH63" s="499"/>
    </row>
    <row r="64" spans="2:35" s="3" customFormat="1" ht="15.75" x14ac:dyDescent="0.25">
      <c r="B64" s="505" t="s">
        <v>34</v>
      </c>
      <c r="C64" s="506"/>
      <c r="D64" s="506"/>
      <c r="E64" s="162">
        <v>40042</v>
      </c>
      <c r="F64" s="162">
        <v>38272</v>
      </c>
      <c r="G64" s="163">
        <v>36028</v>
      </c>
      <c r="H64" s="163">
        <v>33717</v>
      </c>
      <c r="I64" s="164">
        <v>21.76</v>
      </c>
      <c r="J64" s="350">
        <v>1052</v>
      </c>
      <c r="K64" s="546" t="s">
        <v>146</v>
      </c>
      <c r="L64" s="547"/>
      <c r="M64" s="548"/>
      <c r="Q64" s="67"/>
      <c r="R64" s="272" t="s">
        <v>168</v>
      </c>
      <c r="S64" s="281">
        <v>9.4685091592481049E-2</v>
      </c>
      <c r="T64" s="269">
        <v>31079</v>
      </c>
      <c r="U64" s="270">
        <v>24904</v>
      </c>
      <c r="V64" s="271">
        <v>15702.2477</v>
      </c>
      <c r="W64" s="271">
        <v>4139.75</v>
      </c>
      <c r="X64" s="485">
        <v>73.247058823529414</v>
      </c>
      <c r="Y64" s="443">
        <v>42.456699999999955</v>
      </c>
      <c r="Z64" s="442">
        <v>42.456699999999955</v>
      </c>
      <c r="AB64" s="495" t="s">
        <v>181</v>
      </c>
      <c r="AC64" s="492">
        <f>IF(H132=0,G132,H132)</f>
        <v>8</v>
      </c>
      <c r="AD64" s="493">
        <f t="shared" ref="AD64:AD78" si="3">J132</f>
        <v>10.1</v>
      </c>
      <c r="AE64" s="487">
        <f>AA64</f>
        <v>0</v>
      </c>
      <c r="AF64" s="487">
        <f t="shared" ref="AF64:AF78" si="4">K132</f>
        <v>6996.6</v>
      </c>
      <c r="AG64" s="487">
        <f t="shared" ref="AG64:AG78" si="5">IF(AB64="","",VLOOKUP($AB64,$B$109:$Y$167,23,FALSE))</f>
        <v>69966</v>
      </c>
      <c r="AH64" s="487">
        <f t="shared" ref="AH64:AH78" si="6">AG64+$AE$57</f>
        <v>69966</v>
      </c>
    </row>
    <row r="65" spans="2:39" s="3" customFormat="1" ht="15.75" x14ac:dyDescent="0.25">
      <c r="B65" s="505" t="s">
        <v>67</v>
      </c>
      <c r="C65" s="506"/>
      <c r="D65" s="506"/>
      <c r="E65" s="162">
        <v>38590</v>
      </c>
      <c r="F65" s="162">
        <v>35870</v>
      </c>
      <c r="G65" s="163">
        <v>32640</v>
      </c>
      <c r="H65" s="163">
        <v>28560</v>
      </c>
      <c r="I65" s="164">
        <v>33.659999999999997</v>
      </c>
      <c r="J65" s="350">
        <v>1418</v>
      </c>
      <c r="K65" s="546" t="s">
        <v>147</v>
      </c>
      <c r="L65" s="547"/>
      <c r="M65" s="548"/>
      <c r="Q65" s="67"/>
      <c r="R65" s="477" t="s">
        <v>169</v>
      </c>
      <c r="S65" s="478">
        <v>7.1610475586125544E-2</v>
      </c>
      <c r="T65" s="479">
        <v>33932</v>
      </c>
      <c r="U65" s="480">
        <v>28639</v>
      </c>
      <c r="V65" s="481">
        <v>20897.845600000001</v>
      </c>
      <c r="W65" s="481">
        <v>11285.5</v>
      </c>
      <c r="X65" s="482">
        <v>72.138539042821165</v>
      </c>
      <c r="Y65" s="483">
        <v>54.216200000000001</v>
      </c>
      <c r="Z65" s="484">
        <v>54.216200000000001</v>
      </c>
      <c r="AB65" s="495" t="s">
        <v>180</v>
      </c>
      <c r="AC65" s="492">
        <f t="shared" ref="AC65:AC78" si="7">G133</f>
        <v>9</v>
      </c>
      <c r="AD65" s="493">
        <f t="shared" si="3"/>
        <v>10.4</v>
      </c>
      <c r="AE65" s="487">
        <f t="shared" ref="AE65:AE78" si="8">AA65</f>
        <v>0</v>
      </c>
      <c r="AF65" s="487">
        <f t="shared" si="4"/>
        <v>7206.4</v>
      </c>
      <c r="AG65" s="487">
        <f t="shared" si="5"/>
        <v>72064</v>
      </c>
      <c r="AH65" s="487">
        <f t="shared" si="6"/>
        <v>72064</v>
      </c>
    </row>
    <row r="66" spans="2:39" s="3" customFormat="1" ht="15.75" x14ac:dyDescent="0.25">
      <c r="B66" s="505" t="s">
        <v>68</v>
      </c>
      <c r="C66" s="506"/>
      <c r="D66" s="506"/>
      <c r="E66" s="162">
        <v>44401.413005853203</v>
      </c>
      <c r="F66" s="162">
        <v>42526.100417576403</v>
      </c>
      <c r="G66" s="163">
        <v>40450.726029558697</v>
      </c>
      <c r="H66" s="163">
        <v>38017.6613741459</v>
      </c>
      <c r="I66" s="164">
        <v>26.732313234725201</v>
      </c>
      <c r="J66" s="350">
        <v>1121</v>
      </c>
      <c r="K66" s="546" t="s">
        <v>148</v>
      </c>
      <c r="L66" s="547"/>
      <c r="M66" s="548"/>
      <c r="Q66" s="67"/>
      <c r="R66" s="272" t="s">
        <v>170</v>
      </c>
      <c r="S66" s="281">
        <v>0.13361689875520916</v>
      </c>
      <c r="T66" s="269">
        <v>37357</v>
      </c>
      <c r="U66" s="270">
        <v>32695</v>
      </c>
      <c r="V66" s="456">
        <v>26917</v>
      </c>
      <c r="W66" s="271">
        <v>17663</v>
      </c>
      <c r="X66" s="426">
        <v>69.41613588110404</v>
      </c>
      <c r="Y66" s="441">
        <v>54.16</v>
      </c>
      <c r="Z66" s="442">
        <v>53.121600000000001</v>
      </c>
      <c r="AB66" s="495" t="s">
        <v>179</v>
      </c>
      <c r="AC66" s="492">
        <f t="shared" si="7"/>
        <v>9</v>
      </c>
      <c r="AD66" s="493">
        <f t="shared" si="3"/>
        <v>9.8000000000000007</v>
      </c>
      <c r="AE66" s="487">
        <f t="shared" si="8"/>
        <v>0</v>
      </c>
      <c r="AF66" s="487">
        <f t="shared" si="4"/>
        <v>6766.8</v>
      </c>
      <c r="AG66" s="487">
        <f t="shared" si="5"/>
        <v>67668</v>
      </c>
      <c r="AH66" s="487">
        <f t="shared" si="6"/>
        <v>67668</v>
      </c>
    </row>
    <row r="67" spans="2:39" s="3" customFormat="1" ht="15.75" x14ac:dyDescent="0.25">
      <c r="B67" s="505" t="s">
        <v>141</v>
      </c>
      <c r="C67" s="506"/>
      <c r="D67" s="506"/>
      <c r="E67" s="162">
        <v>44300</v>
      </c>
      <c r="F67" s="162">
        <v>40800</v>
      </c>
      <c r="G67" s="163">
        <v>36900</v>
      </c>
      <c r="H67" s="163">
        <v>32600</v>
      </c>
      <c r="I67" s="164">
        <v>36.5</v>
      </c>
      <c r="J67" s="350">
        <v>1550</v>
      </c>
      <c r="K67" s="211" t="s">
        <v>140</v>
      </c>
      <c r="L67" s="212"/>
      <c r="M67" s="213"/>
      <c r="Q67" s="67"/>
      <c r="R67" s="272" t="s">
        <v>171</v>
      </c>
      <c r="S67" s="281">
        <v>8.7651726402229221E-2</v>
      </c>
      <c r="T67" s="269">
        <v>39574</v>
      </c>
      <c r="U67" s="270">
        <v>35188</v>
      </c>
      <c r="V67" s="456">
        <v>30008</v>
      </c>
      <c r="W67" s="271">
        <v>21150.75</v>
      </c>
      <c r="X67" s="426">
        <v>67.539347408829173</v>
      </c>
      <c r="Y67" s="441">
        <v>54.17</v>
      </c>
      <c r="Z67" s="442">
        <v>40.150000000000006</v>
      </c>
      <c r="AB67" s="495" t="s">
        <v>178</v>
      </c>
      <c r="AC67" s="492">
        <f t="shared" si="7"/>
        <v>9</v>
      </c>
      <c r="AD67" s="493">
        <f t="shared" si="3"/>
        <v>9.1999999999999993</v>
      </c>
      <c r="AE67" s="487">
        <f t="shared" si="8"/>
        <v>0</v>
      </c>
      <c r="AF67" s="487">
        <f t="shared" si="4"/>
        <v>6347.2</v>
      </c>
      <c r="AG67" s="487">
        <f t="shared" si="5"/>
        <v>63472</v>
      </c>
      <c r="AH67" s="487">
        <f t="shared" si="6"/>
        <v>63472</v>
      </c>
    </row>
    <row r="68" spans="2:39" s="3" customFormat="1" ht="15.75" x14ac:dyDescent="0.25">
      <c r="B68" s="505" t="s">
        <v>142</v>
      </c>
      <c r="C68" s="506"/>
      <c r="D68" s="506"/>
      <c r="E68" s="162">
        <v>40800</v>
      </c>
      <c r="F68" s="162">
        <v>36800</v>
      </c>
      <c r="G68" s="163">
        <v>30300</v>
      </c>
      <c r="H68" s="163">
        <v>26300</v>
      </c>
      <c r="I68" s="164">
        <v>31.9</v>
      </c>
      <c r="J68" s="350">
        <v>1500</v>
      </c>
      <c r="K68" s="211" t="s">
        <v>150</v>
      </c>
      <c r="L68" s="212"/>
      <c r="M68" s="213"/>
      <c r="Q68" s="67"/>
      <c r="R68" s="272" t="s">
        <v>172</v>
      </c>
      <c r="S68" s="281">
        <v>0.10237678520411016</v>
      </c>
      <c r="T68" s="269">
        <v>41663</v>
      </c>
      <c r="U68" s="270">
        <v>37285</v>
      </c>
      <c r="V68" s="456">
        <v>32810</v>
      </c>
      <c r="W68" s="271">
        <v>24154</v>
      </c>
      <c r="X68" s="426">
        <v>64.506920415224911</v>
      </c>
      <c r="Y68" s="441">
        <v>53.26</v>
      </c>
      <c r="Z68" s="442">
        <v>40.224999999999994</v>
      </c>
      <c r="AB68" s="495" t="s">
        <v>177</v>
      </c>
      <c r="AC68" s="492">
        <f t="shared" si="7"/>
        <v>10</v>
      </c>
      <c r="AD68" s="493">
        <f t="shared" si="3"/>
        <v>9.6</v>
      </c>
      <c r="AE68" s="487">
        <f t="shared" si="8"/>
        <v>0</v>
      </c>
      <c r="AF68" s="487">
        <f t="shared" si="4"/>
        <v>6623.6</v>
      </c>
      <c r="AG68" s="487">
        <f t="shared" si="5"/>
        <v>66236</v>
      </c>
      <c r="AH68" s="487">
        <f t="shared" si="6"/>
        <v>66236</v>
      </c>
    </row>
    <row r="69" spans="2:39" s="3" customFormat="1" ht="15.75" x14ac:dyDescent="0.25">
      <c r="B69" s="505" t="s">
        <v>143</v>
      </c>
      <c r="C69" s="506"/>
      <c r="D69" s="506"/>
      <c r="E69" s="162">
        <v>44600</v>
      </c>
      <c r="F69" s="162">
        <v>41500</v>
      </c>
      <c r="G69" s="163">
        <v>37900</v>
      </c>
      <c r="H69" s="163">
        <v>34200</v>
      </c>
      <c r="I69" s="164">
        <v>30.1</v>
      </c>
      <c r="J69" s="350">
        <v>1500</v>
      </c>
      <c r="K69" s="211" t="s">
        <v>144</v>
      </c>
      <c r="L69" s="212"/>
      <c r="M69" s="213"/>
      <c r="Q69" s="67"/>
      <c r="R69" s="272" t="s">
        <v>173</v>
      </c>
      <c r="S69" s="281">
        <v>7.314828278952358E-2</v>
      </c>
      <c r="T69" s="269">
        <v>44391</v>
      </c>
      <c r="U69" s="270">
        <v>40535</v>
      </c>
      <c r="V69" s="456">
        <v>36160</v>
      </c>
      <c r="W69" s="456">
        <v>27750</v>
      </c>
      <c r="X69" s="426">
        <v>61.697108066971083</v>
      </c>
      <c r="Y69" s="441">
        <v>51.44</v>
      </c>
      <c r="Z69" s="444">
        <v>37.6</v>
      </c>
      <c r="AB69" s="495" t="s">
        <v>176</v>
      </c>
      <c r="AC69" s="492">
        <f t="shared" si="7"/>
        <v>10</v>
      </c>
      <c r="AD69" s="493">
        <f t="shared" si="3"/>
        <v>8.9</v>
      </c>
      <c r="AE69" s="487">
        <f t="shared" si="8"/>
        <v>0</v>
      </c>
      <c r="AF69" s="487">
        <f t="shared" si="4"/>
        <v>6187.4</v>
      </c>
      <c r="AG69" s="487">
        <f t="shared" si="5"/>
        <v>61874</v>
      </c>
      <c r="AH69" s="487">
        <f t="shared" si="6"/>
        <v>61874</v>
      </c>
      <c r="AI69" s="3">
        <v>67.539347408829173</v>
      </c>
      <c r="AJ69" s="3">
        <v>69.41613588110404</v>
      </c>
      <c r="AK69" s="3">
        <v>72.138539042821165</v>
      </c>
      <c r="AL69" s="3">
        <v>73.247058823529414</v>
      </c>
      <c r="AM69" s="3">
        <v>73.41724137931034</v>
      </c>
    </row>
    <row r="70" spans="2:39" s="3" customFormat="1" ht="15.75" x14ac:dyDescent="0.25">
      <c r="B70" s="505" t="s">
        <v>62</v>
      </c>
      <c r="C70" s="506"/>
      <c r="D70" s="506"/>
      <c r="E70" s="162">
        <v>49470</v>
      </c>
      <c r="F70" s="162">
        <v>46070</v>
      </c>
      <c r="G70" s="163">
        <v>41310</v>
      </c>
      <c r="H70" s="163">
        <v>34340</v>
      </c>
      <c r="I70" s="164">
        <v>31.2</v>
      </c>
      <c r="J70" s="350">
        <v>2189</v>
      </c>
      <c r="K70" s="546" t="s">
        <v>47</v>
      </c>
      <c r="L70" s="547"/>
      <c r="M70" s="548"/>
      <c r="Q70" s="67"/>
      <c r="R70" s="272" t="s">
        <v>174</v>
      </c>
      <c r="S70" s="281">
        <v>5.8263691834977968E-2</v>
      </c>
      <c r="T70" s="269">
        <v>46451</v>
      </c>
      <c r="U70" s="270">
        <v>42626</v>
      </c>
      <c r="V70" s="456">
        <v>38479</v>
      </c>
      <c r="W70" s="456">
        <v>31146</v>
      </c>
      <c r="X70" s="426">
        <v>59.952180028129398</v>
      </c>
      <c r="Y70" s="441">
        <v>50.23</v>
      </c>
      <c r="Z70" s="444">
        <v>38.17</v>
      </c>
      <c r="AB70" s="495" t="s">
        <v>175</v>
      </c>
      <c r="AC70" s="492">
        <f t="shared" si="7"/>
        <v>11</v>
      </c>
      <c r="AD70" s="493">
        <f t="shared" si="3"/>
        <v>8.8000000000000007</v>
      </c>
      <c r="AE70" s="487">
        <f t="shared" si="8"/>
        <v>0</v>
      </c>
      <c r="AF70" s="487">
        <f t="shared" si="4"/>
        <v>6080.8</v>
      </c>
      <c r="AG70" s="487">
        <f t="shared" si="5"/>
        <v>60808</v>
      </c>
      <c r="AH70" s="487">
        <f t="shared" si="6"/>
        <v>60808</v>
      </c>
    </row>
    <row r="71" spans="2:39" s="3" customFormat="1" ht="15.75" x14ac:dyDescent="0.25">
      <c r="B71" s="505" t="s">
        <v>69</v>
      </c>
      <c r="C71" s="506"/>
      <c r="D71" s="506"/>
      <c r="E71" s="162">
        <v>54400</v>
      </c>
      <c r="F71" s="162">
        <v>50320</v>
      </c>
      <c r="G71" s="163">
        <v>44880</v>
      </c>
      <c r="H71" s="163">
        <v>36890</v>
      </c>
      <c r="I71" s="164">
        <v>33.799999999999997</v>
      </c>
      <c r="J71" s="350">
        <v>2445</v>
      </c>
      <c r="K71" s="546" t="s">
        <v>48</v>
      </c>
      <c r="L71" s="547"/>
      <c r="M71" s="548"/>
      <c r="Q71" s="67"/>
      <c r="R71" s="272" t="s">
        <v>175</v>
      </c>
      <c r="S71" s="281">
        <v>5.1878167093652082E-2</v>
      </c>
      <c r="T71" s="269">
        <v>49472</v>
      </c>
      <c r="U71" s="270">
        <v>45614</v>
      </c>
      <c r="V71" s="456">
        <v>41803</v>
      </c>
      <c r="W71" s="456">
        <v>35538</v>
      </c>
      <c r="X71" s="426">
        <v>57.160401002506269</v>
      </c>
      <c r="Y71" s="441">
        <v>48.38</v>
      </c>
      <c r="Z71" s="444">
        <v>38.380000000000003</v>
      </c>
      <c r="AB71" s="495" t="s">
        <v>174</v>
      </c>
      <c r="AC71" s="492">
        <f t="shared" si="7"/>
        <v>12</v>
      </c>
      <c r="AD71" s="493">
        <f t="shared" si="3"/>
        <v>8.5</v>
      </c>
      <c r="AE71" s="487">
        <f t="shared" si="8"/>
        <v>0</v>
      </c>
      <c r="AF71" s="487">
        <f t="shared" si="4"/>
        <v>5911</v>
      </c>
      <c r="AG71" s="487">
        <f t="shared" si="5"/>
        <v>59110</v>
      </c>
      <c r="AH71" s="487">
        <f t="shared" si="6"/>
        <v>59110</v>
      </c>
    </row>
    <row r="72" spans="2:39" s="3" customFormat="1" ht="15.75" x14ac:dyDescent="0.25">
      <c r="B72" s="505" t="s">
        <v>60</v>
      </c>
      <c r="C72" s="506"/>
      <c r="D72" s="506"/>
      <c r="E72" s="163">
        <v>40235.599999999999</v>
      </c>
      <c r="F72" s="163">
        <v>37655</v>
      </c>
      <c r="G72" s="163">
        <v>34690.199999999997</v>
      </c>
      <c r="H72" s="163">
        <v>29998.2</v>
      </c>
      <c r="I72" s="165">
        <v>32.64</v>
      </c>
      <c r="J72" s="350">
        <v>1758</v>
      </c>
      <c r="K72" s="594" t="s">
        <v>212</v>
      </c>
      <c r="L72" s="595"/>
      <c r="M72" s="596"/>
      <c r="Q72" s="67"/>
      <c r="R72" s="272" t="s">
        <v>176</v>
      </c>
      <c r="S72" s="281">
        <v>5.2377110611948642E-2</v>
      </c>
      <c r="T72" s="269">
        <v>51830</v>
      </c>
      <c r="U72" s="270">
        <v>48217</v>
      </c>
      <c r="V72" s="456">
        <v>45253</v>
      </c>
      <c r="W72" s="456">
        <v>39095</v>
      </c>
      <c r="X72" s="426">
        <v>53.934004474272932</v>
      </c>
      <c r="Y72" s="441">
        <v>46.89</v>
      </c>
      <c r="Z72" s="444">
        <v>37.229999999999997</v>
      </c>
      <c r="AB72" s="495" t="s">
        <v>173</v>
      </c>
      <c r="AC72" s="492">
        <f t="shared" si="7"/>
        <v>13</v>
      </c>
      <c r="AD72" s="493">
        <f t="shared" si="3"/>
        <v>8.5</v>
      </c>
      <c r="AE72" s="487">
        <f t="shared" si="8"/>
        <v>0</v>
      </c>
      <c r="AF72" s="487">
        <f t="shared" si="4"/>
        <v>5911</v>
      </c>
      <c r="AG72" s="487">
        <f t="shared" si="5"/>
        <v>59110</v>
      </c>
      <c r="AH72" s="487">
        <f t="shared" si="6"/>
        <v>59110</v>
      </c>
    </row>
    <row r="73" spans="2:39" s="3" customFormat="1" ht="15.75" x14ac:dyDescent="0.25">
      <c r="B73" s="505" t="s">
        <v>59</v>
      </c>
      <c r="C73" s="506"/>
      <c r="D73" s="506"/>
      <c r="E73" s="163">
        <v>45042</v>
      </c>
      <c r="F73" s="163">
        <v>42720</v>
      </c>
      <c r="G73" s="163">
        <v>40294</v>
      </c>
      <c r="H73" s="163">
        <v>37303</v>
      </c>
      <c r="I73" s="165">
        <v>26.33</v>
      </c>
      <c r="J73" s="350">
        <v>1830</v>
      </c>
      <c r="K73" s="594" t="s">
        <v>212</v>
      </c>
      <c r="L73" s="595"/>
      <c r="M73" s="596"/>
      <c r="Q73" s="67"/>
      <c r="R73" s="272" t="s">
        <v>177</v>
      </c>
      <c r="S73" s="281">
        <v>6.4165733309038644E-2</v>
      </c>
      <c r="T73" s="269">
        <v>53630</v>
      </c>
      <c r="U73" s="270">
        <v>50330</v>
      </c>
      <c r="V73" s="456">
        <v>46843</v>
      </c>
      <c r="W73" s="456">
        <v>41210</v>
      </c>
      <c r="X73" s="426">
        <v>52.646443514644353</v>
      </c>
      <c r="Y73" s="441">
        <v>45.3</v>
      </c>
      <c r="Z73" s="444">
        <v>36.700000000000003</v>
      </c>
      <c r="AB73" s="495" t="s">
        <v>172</v>
      </c>
      <c r="AC73" s="492">
        <f t="shared" si="7"/>
        <v>14</v>
      </c>
      <c r="AD73" s="493">
        <f t="shared" si="3"/>
        <v>8.1</v>
      </c>
      <c r="AE73" s="487">
        <f t="shared" si="8"/>
        <v>0</v>
      </c>
      <c r="AF73" s="487">
        <f t="shared" si="4"/>
        <v>5604.6</v>
      </c>
      <c r="AG73" s="487">
        <f t="shared" si="5"/>
        <v>56046</v>
      </c>
      <c r="AH73" s="487">
        <f t="shared" si="6"/>
        <v>56046</v>
      </c>
    </row>
    <row r="74" spans="2:39" s="3" customFormat="1" ht="15.75" x14ac:dyDescent="0.25">
      <c r="B74" s="505" t="s">
        <v>58</v>
      </c>
      <c r="C74" s="506"/>
      <c r="D74" s="506"/>
      <c r="E74" s="163">
        <v>48875</v>
      </c>
      <c r="F74" s="163">
        <v>46711</v>
      </c>
      <c r="G74" s="163">
        <v>44529</v>
      </c>
      <c r="H74" s="163">
        <v>42089.599999999999</v>
      </c>
      <c r="I74" s="165">
        <v>20.100000000000001</v>
      </c>
      <c r="J74" s="350">
        <v>1892</v>
      </c>
      <c r="K74" s="594" t="s">
        <v>212</v>
      </c>
      <c r="L74" s="595"/>
      <c r="M74" s="596"/>
      <c r="Q74" s="67"/>
      <c r="R74" s="272" t="s">
        <v>178</v>
      </c>
      <c r="S74" s="281">
        <v>1.9626423999300733E-2</v>
      </c>
      <c r="T74" s="269">
        <v>55158</v>
      </c>
      <c r="U74" s="270">
        <v>51584</v>
      </c>
      <c r="V74" s="456">
        <v>48729</v>
      </c>
      <c r="W74" s="456">
        <v>43126</v>
      </c>
      <c r="X74" s="426">
        <v>50.671905697445972</v>
      </c>
      <c r="Y74" s="441">
        <v>44.5</v>
      </c>
      <c r="Z74" s="444">
        <v>36.15</v>
      </c>
      <c r="AB74" s="495" t="s">
        <v>171</v>
      </c>
      <c r="AC74" s="492">
        <f t="shared" si="7"/>
        <v>15</v>
      </c>
      <c r="AD74" s="493">
        <f t="shared" si="3"/>
        <v>7.8</v>
      </c>
      <c r="AE74" s="487">
        <f t="shared" si="8"/>
        <v>0</v>
      </c>
      <c r="AF74" s="487">
        <f t="shared" si="4"/>
        <v>5414.8</v>
      </c>
      <c r="AG74" s="487">
        <f t="shared" si="5"/>
        <v>54148</v>
      </c>
      <c r="AH74" s="487">
        <f t="shared" si="6"/>
        <v>54148</v>
      </c>
    </row>
    <row r="75" spans="2:39" s="3" customFormat="1" ht="15.75" x14ac:dyDescent="0.25">
      <c r="B75" s="505" t="s">
        <v>125</v>
      </c>
      <c r="C75" s="506"/>
      <c r="D75" s="506"/>
      <c r="E75" s="163">
        <v>31387</v>
      </c>
      <c r="F75" s="163">
        <v>29053</v>
      </c>
      <c r="G75" s="163">
        <v>26651</v>
      </c>
      <c r="H75" s="163">
        <v>23774</v>
      </c>
      <c r="I75" s="165">
        <v>31.3</v>
      </c>
      <c r="J75" s="350">
        <v>1458</v>
      </c>
      <c r="K75" s="594" t="s">
        <v>212</v>
      </c>
      <c r="L75" s="595"/>
      <c r="M75" s="596"/>
      <c r="Q75" s="67"/>
      <c r="R75" s="272" t="s">
        <v>179</v>
      </c>
      <c r="S75" s="281">
        <v>6.2190522809518495E-3</v>
      </c>
      <c r="T75" s="269">
        <v>56831</v>
      </c>
      <c r="U75" s="270">
        <v>53932</v>
      </c>
      <c r="V75" s="456">
        <v>50467</v>
      </c>
      <c r="W75" s="456">
        <v>45343</v>
      </c>
      <c r="X75" s="426">
        <v>49.661141804788215</v>
      </c>
      <c r="Y75" s="441">
        <v>42.77</v>
      </c>
      <c r="Z75" s="444">
        <v>35.340000000000003</v>
      </c>
      <c r="AB75" s="495" t="s">
        <v>170</v>
      </c>
      <c r="AC75" s="492">
        <f t="shared" si="7"/>
        <v>17</v>
      </c>
      <c r="AD75" s="493">
        <f t="shared" si="3"/>
        <v>8</v>
      </c>
      <c r="AE75" s="487">
        <f t="shared" si="8"/>
        <v>0</v>
      </c>
      <c r="AF75" s="487">
        <f t="shared" si="4"/>
        <v>5548</v>
      </c>
      <c r="AG75" s="487">
        <f t="shared" si="5"/>
        <v>55480</v>
      </c>
      <c r="AH75" s="487">
        <f t="shared" si="6"/>
        <v>55480</v>
      </c>
    </row>
    <row r="76" spans="2:39" s="3" customFormat="1" ht="15.75" x14ac:dyDescent="0.25">
      <c r="B76" s="505" t="s">
        <v>70</v>
      </c>
      <c r="C76" s="506"/>
      <c r="D76" s="506"/>
      <c r="E76" s="163">
        <v>41310</v>
      </c>
      <c r="F76" s="163">
        <v>37570</v>
      </c>
      <c r="G76" s="163">
        <v>33150</v>
      </c>
      <c r="H76" s="163">
        <v>26350</v>
      </c>
      <c r="I76" s="165">
        <v>30.43</v>
      </c>
      <c r="J76" s="350">
        <v>1708</v>
      </c>
      <c r="K76" s="594" t="s">
        <v>213</v>
      </c>
      <c r="L76" s="595"/>
      <c r="M76" s="596"/>
      <c r="Q76" s="67"/>
      <c r="R76" s="272" t="s">
        <v>180</v>
      </c>
      <c r="S76" s="281">
        <v>5.65898974122924E-3</v>
      </c>
      <c r="T76" s="269">
        <v>58294</v>
      </c>
      <c r="U76" s="270">
        <v>55190</v>
      </c>
      <c r="V76" s="456">
        <v>52151</v>
      </c>
      <c r="W76" s="456">
        <v>47358</v>
      </c>
      <c r="X76" s="426">
        <v>47.700950734658598</v>
      </c>
      <c r="Y76" s="441">
        <v>42.02</v>
      </c>
      <c r="Z76" s="444">
        <v>34.9</v>
      </c>
      <c r="AB76" s="495" t="s">
        <v>169</v>
      </c>
      <c r="AC76" s="492">
        <f t="shared" si="7"/>
        <v>21</v>
      </c>
      <c r="AD76" s="493">
        <f t="shared" si="3"/>
        <v>8.3000000000000007</v>
      </c>
      <c r="AE76" s="487">
        <f t="shared" si="8"/>
        <v>0</v>
      </c>
      <c r="AF76" s="487">
        <f t="shared" si="4"/>
        <v>5767.8</v>
      </c>
      <c r="AG76" s="487">
        <f t="shared" si="5"/>
        <v>57678</v>
      </c>
      <c r="AH76" s="487">
        <f t="shared" si="6"/>
        <v>57678</v>
      </c>
    </row>
    <row r="77" spans="2:39" s="3" customFormat="1" ht="15.75" x14ac:dyDescent="0.25">
      <c r="B77" s="505" t="s">
        <v>73</v>
      </c>
      <c r="C77" s="506"/>
      <c r="D77" s="506"/>
      <c r="E77" s="163">
        <v>43494</v>
      </c>
      <c r="F77" s="163">
        <v>40266</v>
      </c>
      <c r="G77" s="163">
        <v>36019</v>
      </c>
      <c r="H77" s="163">
        <v>30752</v>
      </c>
      <c r="I77" s="165">
        <v>46.2</v>
      </c>
      <c r="J77" s="350">
        <v>1888</v>
      </c>
      <c r="K77" s="546" t="s">
        <v>149</v>
      </c>
      <c r="L77" s="547"/>
      <c r="M77" s="548"/>
      <c r="Q77" s="67"/>
      <c r="R77" s="272" t="s">
        <v>181</v>
      </c>
      <c r="S77" s="281">
        <v>2.5457305664114359E-3</v>
      </c>
      <c r="T77" s="269">
        <v>60689</v>
      </c>
      <c r="U77" s="270">
        <v>57807</v>
      </c>
      <c r="V77" s="456">
        <v>55148</v>
      </c>
      <c r="W77" s="456">
        <v>50347</v>
      </c>
      <c r="X77" s="426">
        <v>45.769596199524941</v>
      </c>
      <c r="Y77" s="441">
        <v>40.549999999999997</v>
      </c>
      <c r="Z77" s="444">
        <v>33.68</v>
      </c>
      <c r="AB77" s="495" t="s">
        <v>168</v>
      </c>
      <c r="AC77" s="492">
        <f t="shared" si="7"/>
        <v>28</v>
      </c>
      <c r="AD77" s="493">
        <f t="shared" si="3"/>
        <v>9.5</v>
      </c>
      <c r="AE77" s="487">
        <f t="shared" si="8"/>
        <v>0</v>
      </c>
      <c r="AF77" s="487">
        <f t="shared" si="4"/>
        <v>6597</v>
      </c>
      <c r="AG77" s="487">
        <f t="shared" si="5"/>
        <v>65970</v>
      </c>
      <c r="AH77" s="487">
        <f t="shared" si="6"/>
        <v>65970</v>
      </c>
    </row>
    <row r="78" spans="2:39" s="3" customFormat="1" ht="16.5" thickBot="1" x14ac:dyDescent="0.3">
      <c r="B78" s="505" t="s">
        <v>61</v>
      </c>
      <c r="C78" s="506"/>
      <c r="D78" s="506"/>
      <c r="E78" s="162">
        <v>35530</v>
      </c>
      <c r="F78" s="162">
        <v>32300</v>
      </c>
      <c r="G78" s="163">
        <v>28050</v>
      </c>
      <c r="H78" s="163">
        <v>21590</v>
      </c>
      <c r="I78" s="164">
        <v>33.49</v>
      </c>
      <c r="J78" s="350">
        <v>1470</v>
      </c>
      <c r="K78" s="546" t="s">
        <v>49</v>
      </c>
      <c r="L78" s="547"/>
      <c r="M78" s="548"/>
      <c r="Q78" s="67"/>
      <c r="R78" s="268"/>
      <c r="S78" s="280"/>
      <c r="T78" s="220"/>
      <c r="U78" s="220"/>
      <c r="V78" s="457"/>
      <c r="W78" s="457"/>
      <c r="X78" s="220"/>
      <c r="Y78" s="447"/>
      <c r="Z78" s="448"/>
      <c r="AB78" s="495" t="s">
        <v>167</v>
      </c>
      <c r="AC78" s="492">
        <f t="shared" si="7"/>
        <v>29</v>
      </c>
      <c r="AD78" s="493">
        <f t="shared" si="3"/>
        <v>8.4</v>
      </c>
      <c r="AE78" s="487">
        <f t="shared" si="8"/>
        <v>0</v>
      </c>
      <c r="AF78" s="487">
        <f t="shared" si="4"/>
        <v>5824.4</v>
      </c>
      <c r="AG78" s="487">
        <f t="shared" si="5"/>
        <v>58244</v>
      </c>
      <c r="AH78" s="487">
        <f t="shared" si="6"/>
        <v>58244</v>
      </c>
    </row>
    <row r="79" spans="2:39" s="3" customFormat="1" ht="15.75" x14ac:dyDescent="0.25">
      <c r="B79" s="507" t="s">
        <v>130</v>
      </c>
      <c r="C79" s="508"/>
      <c r="D79" s="509"/>
      <c r="E79" s="163">
        <v>51310</v>
      </c>
      <c r="F79" s="163">
        <v>47912</v>
      </c>
      <c r="G79" s="163">
        <v>43834</v>
      </c>
      <c r="H79" s="163">
        <v>39926</v>
      </c>
      <c r="I79" s="165">
        <v>33.799999999999997</v>
      </c>
      <c r="J79" s="350">
        <v>1542</v>
      </c>
      <c r="K79" s="211" t="s">
        <v>131</v>
      </c>
      <c r="L79" s="212"/>
      <c r="M79" s="213"/>
      <c r="O79" s="2"/>
      <c r="P79" s="77"/>
      <c r="Q79" s="77"/>
      <c r="R79" s="404" t="s">
        <v>207</v>
      </c>
      <c r="S79" s="405" t="s">
        <v>197</v>
      </c>
      <c r="T79" s="406" t="s">
        <v>156</v>
      </c>
      <c r="U79" s="406" t="s">
        <v>139</v>
      </c>
      <c r="V79" s="458" t="s">
        <v>157</v>
      </c>
      <c r="W79" s="458" t="s">
        <v>137</v>
      </c>
      <c r="X79" s="423" t="s">
        <v>158</v>
      </c>
      <c r="Y79" s="449" t="s">
        <v>231</v>
      </c>
      <c r="Z79" s="450" t="s">
        <v>232</v>
      </c>
      <c r="AB79" s="497"/>
      <c r="AC79" s="497"/>
      <c r="AD79" s="499"/>
      <c r="AE79" s="499"/>
      <c r="AF79" s="499"/>
      <c r="AG79" s="499"/>
      <c r="AH79" s="499"/>
    </row>
    <row r="80" spans="2:39" s="3" customFormat="1" ht="15.75" x14ac:dyDescent="0.25">
      <c r="B80" s="505" t="s">
        <v>50</v>
      </c>
      <c r="C80" s="506"/>
      <c r="D80" s="506"/>
      <c r="E80" s="162">
        <v>35400</v>
      </c>
      <c r="F80" s="162">
        <v>32100</v>
      </c>
      <c r="G80" s="163">
        <v>27200</v>
      </c>
      <c r="H80" s="163">
        <v>22500</v>
      </c>
      <c r="I80" s="164">
        <v>27.3</v>
      </c>
      <c r="J80" s="350">
        <v>720</v>
      </c>
      <c r="K80" s="546" t="s">
        <v>54</v>
      </c>
      <c r="L80" s="547"/>
      <c r="M80" s="548"/>
      <c r="O80" s="77"/>
      <c r="P80" s="77"/>
      <c r="Q80" s="77"/>
      <c r="R80" s="275" t="s">
        <v>182</v>
      </c>
      <c r="S80" s="281">
        <v>0.50759572756629467</v>
      </c>
      <c r="T80" s="269">
        <v>19367</v>
      </c>
      <c r="U80" s="269">
        <v>13075</v>
      </c>
      <c r="V80" s="271">
        <v>7258.130000000001</v>
      </c>
      <c r="W80" s="271">
        <v>1479.5</v>
      </c>
      <c r="X80" s="427">
        <v>69.5</v>
      </c>
      <c r="Y80" s="451">
        <v>30.111000000000001</v>
      </c>
      <c r="Z80" s="452">
        <v>20.111000000000001</v>
      </c>
      <c r="AB80" s="496" t="s">
        <v>207</v>
      </c>
      <c r="AC80" s="497">
        <f>AC84</f>
        <v>11</v>
      </c>
      <c r="AD80" s="497">
        <f>(AD81*S80)+(AD82*S81)+(AD83*S82)+(AD84*S83)</f>
        <v>13.052205492781301</v>
      </c>
      <c r="AE80" s="487">
        <f>$J$55*AC80</f>
        <v>30800</v>
      </c>
      <c r="AF80" s="498">
        <f>(AF81*S80)+(AF82*S81)+(AF83*S82)+(AF84*S83)</f>
        <v>9037.5018188108261</v>
      </c>
      <c r="AG80" s="498">
        <f>AF80*10</f>
        <v>90375.018188108254</v>
      </c>
      <c r="AH80" s="494">
        <f>AG80+AE80</f>
        <v>121175.01818810825</v>
      </c>
    </row>
    <row r="81" spans="2:34" s="3" customFormat="1" ht="15.75" x14ac:dyDescent="0.25">
      <c r="B81" s="505" t="s">
        <v>51</v>
      </c>
      <c r="C81" s="506"/>
      <c r="D81" s="506"/>
      <c r="E81" s="162">
        <v>40200</v>
      </c>
      <c r="F81" s="162">
        <v>37800</v>
      </c>
      <c r="G81" s="163">
        <v>34600</v>
      </c>
      <c r="H81" s="163">
        <v>30600</v>
      </c>
      <c r="I81" s="164">
        <v>25.4</v>
      </c>
      <c r="J81" s="350">
        <v>720</v>
      </c>
      <c r="K81" s="532" t="s">
        <v>55</v>
      </c>
      <c r="L81" s="533"/>
      <c r="M81" s="534"/>
      <c r="O81" s="2"/>
      <c r="P81" s="77"/>
      <c r="Q81" s="129"/>
      <c r="R81" s="275" t="s">
        <v>183</v>
      </c>
      <c r="S81" s="281">
        <v>0.23136518171593973</v>
      </c>
      <c r="T81" s="269">
        <v>31741</v>
      </c>
      <c r="U81" s="269">
        <v>27342</v>
      </c>
      <c r="V81" s="271">
        <v>20883.8014</v>
      </c>
      <c r="W81" s="456">
        <v>16819</v>
      </c>
      <c r="X81" s="428">
        <v>43.4</v>
      </c>
      <c r="Y81" s="451">
        <v>29.800699999999999</v>
      </c>
      <c r="Z81" s="452">
        <v>20.272999999999996</v>
      </c>
      <c r="AB81" s="500" t="s">
        <v>182</v>
      </c>
      <c r="AC81" s="492">
        <f>G147</f>
        <v>61</v>
      </c>
      <c r="AD81" s="493">
        <f>J147</f>
        <v>11.5</v>
      </c>
      <c r="AE81" s="487">
        <f>AA81</f>
        <v>0</v>
      </c>
      <c r="AF81" s="487">
        <f>K147</f>
        <v>7949</v>
      </c>
      <c r="AG81" s="487">
        <f>IF(AB81="","",VLOOKUP($AB81,$B$109:$Y$167,23,FALSE))</f>
        <v>79490</v>
      </c>
      <c r="AH81" s="487">
        <f>AG81+$AE$64</f>
        <v>79490</v>
      </c>
    </row>
    <row r="82" spans="2:34" s="3" customFormat="1" ht="15.75" x14ac:dyDescent="0.25">
      <c r="B82" s="505" t="s">
        <v>71</v>
      </c>
      <c r="C82" s="506"/>
      <c r="D82" s="506"/>
      <c r="E82" s="162">
        <v>38800</v>
      </c>
      <c r="F82" s="162">
        <v>35800</v>
      </c>
      <c r="G82" s="163">
        <v>32400</v>
      </c>
      <c r="H82" s="163">
        <v>28200</v>
      </c>
      <c r="I82" s="164">
        <v>30.6</v>
      </c>
      <c r="J82" s="350">
        <v>890</v>
      </c>
      <c r="K82" s="546" t="s">
        <v>56</v>
      </c>
      <c r="L82" s="547"/>
      <c r="M82" s="548"/>
      <c r="O82" s="2"/>
      <c r="P82" s="77"/>
      <c r="Q82" s="129"/>
      <c r="R82" s="275" t="s">
        <v>184</v>
      </c>
      <c r="S82" s="281">
        <v>0.16729986056060658</v>
      </c>
      <c r="T82" s="269">
        <v>38319</v>
      </c>
      <c r="U82" s="269">
        <v>35075</v>
      </c>
      <c r="V82" s="271">
        <v>32987.768900000003</v>
      </c>
      <c r="W82" s="456">
        <v>22432</v>
      </c>
      <c r="X82" s="428">
        <v>35.799999999999997</v>
      </c>
      <c r="Y82" s="451">
        <v>27.939800000000002</v>
      </c>
      <c r="Z82" s="452">
        <v>23.746000000000002</v>
      </c>
      <c r="AB82" s="500" t="s">
        <v>183</v>
      </c>
      <c r="AC82" s="492">
        <f>G148</f>
        <v>21</v>
      </c>
      <c r="AD82" s="493">
        <f>J148</f>
        <v>13.2</v>
      </c>
      <c r="AE82" s="487">
        <f t="shared" ref="AE82:AE84" si="9">AA82</f>
        <v>0</v>
      </c>
      <c r="AF82" s="487">
        <f>K148</f>
        <v>9161.2000000000007</v>
      </c>
      <c r="AG82" s="487">
        <f>IF(AB82="","",VLOOKUP($AB82,$B$109:$Y$167,23,FALSE))</f>
        <v>91612</v>
      </c>
      <c r="AH82" s="487">
        <f>AG82+$AE$64</f>
        <v>91612</v>
      </c>
    </row>
    <row r="83" spans="2:34" s="3" customFormat="1" ht="16.5" thickBot="1" x14ac:dyDescent="0.3">
      <c r="B83" s="602" t="s">
        <v>72</v>
      </c>
      <c r="C83" s="603"/>
      <c r="D83" s="603"/>
      <c r="E83" s="287">
        <v>44100</v>
      </c>
      <c r="F83" s="287">
        <v>41700</v>
      </c>
      <c r="G83" s="192">
        <v>38900</v>
      </c>
      <c r="H83" s="192">
        <v>36100</v>
      </c>
      <c r="I83" s="288">
        <v>28.5</v>
      </c>
      <c r="J83" s="351">
        <v>890</v>
      </c>
      <c r="K83" s="597" t="s">
        <v>57</v>
      </c>
      <c r="L83" s="598"/>
      <c r="M83" s="599"/>
      <c r="O83" s="77"/>
      <c r="P83" s="77"/>
      <c r="Q83" s="77"/>
      <c r="R83" s="276" t="s">
        <v>185</v>
      </c>
      <c r="S83" s="282">
        <v>9.4385158456474647E-2</v>
      </c>
      <c r="T83" s="274">
        <v>49191</v>
      </c>
      <c r="U83" s="274">
        <v>44548</v>
      </c>
      <c r="V83" s="459">
        <v>41246</v>
      </c>
      <c r="W83" s="459">
        <v>28378</v>
      </c>
      <c r="X83" s="429">
        <v>24.74</v>
      </c>
      <c r="Y83" s="453">
        <v>23.827800000000003</v>
      </c>
      <c r="Z83" s="454">
        <v>22.598000000000003</v>
      </c>
      <c r="AB83" s="500" t="s">
        <v>184</v>
      </c>
      <c r="AC83" s="492">
        <f>G149</f>
        <v>14</v>
      </c>
      <c r="AD83" s="493">
        <f>J149</f>
        <v>13.7</v>
      </c>
      <c r="AE83" s="487">
        <f t="shared" si="9"/>
        <v>0</v>
      </c>
      <c r="AF83" s="487">
        <f>K149</f>
        <v>9494.2000000000007</v>
      </c>
      <c r="AG83" s="487">
        <f>IF(AB83="","",VLOOKUP($AB83,$B$109:$Y$167,23,FALSE))</f>
        <v>94942</v>
      </c>
      <c r="AH83" s="487">
        <f>AG83+$AE$64</f>
        <v>94942</v>
      </c>
    </row>
    <row r="84" spans="2:34" s="3" customFormat="1" ht="16.5" thickBot="1" x14ac:dyDescent="0.3">
      <c r="B84" s="601"/>
      <c r="C84" s="601"/>
      <c r="D84" s="601"/>
      <c r="E84" s="283"/>
      <c r="F84" s="283"/>
      <c r="G84" s="283"/>
      <c r="H84" s="283"/>
      <c r="I84" s="283"/>
      <c r="J84" s="216"/>
      <c r="K84" s="600"/>
      <c r="L84" s="600"/>
      <c r="M84" s="600"/>
      <c r="O84" s="77"/>
      <c r="P84" s="77"/>
      <c r="Q84" s="77"/>
      <c r="R84" s="268"/>
      <c r="S84" s="280"/>
      <c r="T84" s="220"/>
      <c r="U84" s="220"/>
      <c r="V84" s="457"/>
      <c r="W84" s="457"/>
      <c r="X84" s="220"/>
      <c r="Y84" s="447"/>
      <c r="Z84" s="455"/>
      <c r="AB84" s="500" t="s">
        <v>185</v>
      </c>
      <c r="AC84" s="492">
        <f>IF(H150=0,G150,H150)</f>
        <v>11</v>
      </c>
      <c r="AD84" s="493">
        <f>J150</f>
        <v>19.8</v>
      </c>
      <c r="AE84" s="487">
        <f t="shared" si="9"/>
        <v>0</v>
      </c>
      <c r="AF84" s="487">
        <f>K150</f>
        <v>13716.8</v>
      </c>
      <c r="AG84" s="487">
        <f>IF(AB84="","",VLOOKUP($AB84,$B$109:$Y$167,23,FALSE))</f>
        <v>137168</v>
      </c>
      <c r="AH84" s="487">
        <f>AG84+$AE$64</f>
        <v>137168</v>
      </c>
    </row>
    <row r="85" spans="2:34" ht="20.25" x14ac:dyDescent="0.3">
      <c r="B85" s="357" t="s">
        <v>205</v>
      </c>
      <c r="C85" s="299"/>
      <c r="D85" s="299"/>
      <c r="E85" s="300"/>
      <c r="F85" s="283"/>
      <c r="G85" s="283"/>
      <c r="H85" s="283"/>
      <c r="I85" s="283"/>
      <c r="J85" s="216"/>
      <c r="K85" s="600"/>
      <c r="L85" s="600"/>
      <c r="M85" s="600"/>
      <c r="N85" s="3"/>
      <c r="O85" s="77"/>
      <c r="P85" s="77"/>
      <c r="Q85" s="77"/>
      <c r="R85" s="404" t="s">
        <v>195</v>
      </c>
      <c r="S85" s="405" t="s">
        <v>197</v>
      </c>
      <c r="T85" s="406" t="s">
        <v>156</v>
      </c>
      <c r="U85" s="406" t="s">
        <v>139</v>
      </c>
      <c r="V85" s="458" t="s">
        <v>157</v>
      </c>
      <c r="W85" s="458" t="s">
        <v>137</v>
      </c>
      <c r="X85" s="423" t="s">
        <v>158</v>
      </c>
      <c r="Y85" s="449" t="s">
        <v>231</v>
      </c>
      <c r="Z85" s="450" t="s">
        <v>232</v>
      </c>
      <c r="AB85" s="497"/>
      <c r="AC85" s="497"/>
      <c r="AD85" s="499"/>
      <c r="AE85" s="499"/>
      <c r="AF85" s="499"/>
      <c r="AG85" s="499"/>
      <c r="AH85" s="499"/>
    </row>
    <row r="86" spans="2:34" ht="15.75" x14ac:dyDescent="0.25">
      <c r="B86" s="601"/>
      <c r="C86" s="601"/>
      <c r="D86" s="601"/>
      <c r="E86" s="283"/>
      <c r="F86" s="283"/>
      <c r="G86" s="283"/>
      <c r="H86" s="283"/>
      <c r="I86" s="283"/>
      <c r="J86" s="216"/>
      <c r="K86" s="600"/>
      <c r="L86" s="600"/>
      <c r="M86" s="600"/>
      <c r="N86" s="3"/>
      <c r="O86" s="75"/>
      <c r="P86" s="77"/>
      <c r="Q86" s="77"/>
      <c r="R86" s="275" t="s">
        <v>186</v>
      </c>
      <c r="S86" s="281">
        <v>0.17652534673280207</v>
      </c>
      <c r="T86" s="269">
        <v>18200</v>
      </c>
      <c r="U86" s="269">
        <v>9900</v>
      </c>
      <c r="V86" s="456">
        <v>7100</v>
      </c>
      <c r="W86" s="271">
        <v>3545</v>
      </c>
      <c r="X86" s="424">
        <v>20.8</v>
      </c>
      <c r="Y86" s="443">
        <v>11.2</v>
      </c>
      <c r="Z86" s="442">
        <v>8</v>
      </c>
      <c r="AB86" s="496" t="s">
        <v>195</v>
      </c>
      <c r="AC86" s="497">
        <f>AC93</f>
        <v>8</v>
      </c>
      <c r="AD86" s="497">
        <f>(AD87*S86)+(AD88*S87)+(AD89*S88)+(AD90*S89)+(AD91*S90)+(AD92*S91)+(AD93*S92)</f>
        <v>17.842259449400363</v>
      </c>
      <c r="AE86" s="487">
        <f>$J$56*AC86</f>
        <v>24000</v>
      </c>
      <c r="AF86" s="498">
        <f>(AF87*S86)+(AF88*S87)+(AF89*S88)+(AF90*S89)+(AF91*S90)+(AF92*S91)+(AF93*S92)</f>
        <v>12366.052007866594</v>
      </c>
      <c r="AG86" s="498">
        <f>AF86*10</f>
        <v>123660.52007866594</v>
      </c>
      <c r="AH86" s="494">
        <f>AG86+AE86</f>
        <v>147660.52007866593</v>
      </c>
    </row>
    <row r="87" spans="2:34" ht="15.75" x14ac:dyDescent="0.25">
      <c r="B87" s="601"/>
      <c r="C87" s="601"/>
      <c r="D87" s="601"/>
      <c r="E87" s="284"/>
      <c r="F87" s="284"/>
      <c r="G87" s="284"/>
      <c r="H87" s="284"/>
      <c r="I87" s="285"/>
      <c r="J87" s="286"/>
      <c r="K87" s="600"/>
      <c r="L87" s="600"/>
      <c r="M87" s="600"/>
      <c r="N87" s="3"/>
      <c r="O87" s="77"/>
      <c r="P87" s="77"/>
      <c r="Q87" s="77"/>
      <c r="R87" s="275" t="s">
        <v>187</v>
      </c>
      <c r="S87" s="281">
        <v>9.4707314984023766E-2</v>
      </c>
      <c r="T87" s="269">
        <v>30100</v>
      </c>
      <c r="U87" s="269">
        <v>22100</v>
      </c>
      <c r="V87" s="456">
        <v>9200</v>
      </c>
      <c r="W87" s="271">
        <v>3940</v>
      </c>
      <c r="X87" s="424">
        <v>44</v>
      </c>
      <c r="Y87" s="441">
        <v>17.100000000000001</v>
      </c>
      <c r="Z87" s="442">
        <v>12.5</v>
      </c>
      <c r="AB87" s="500" t="s">
        <v>186</v>
      </c>
      <c r="AC87" s="492">
        <f t="shared" ref="AC87:AC92" si="10">G151</f>
        <v>62</v>
      </c>
      <c r="AD87" s="493">
        <f t="shared" ref="AD87:AD93" si="11">J151</f>
        <v>29.5</v>
      </c>
      <c r="AE87" s="487">
        <f>AA87</f>
        <v>0</v>
      </c>
      <c r="AF87" s="487">
        <f t="shared" ref="AF87:AF93" si="12">K151</f>
        <v>20437</v>
      </c>
      <c r="AG87" s="487">
        <f t="shared" ref="AG87:AG93" si="13">IF(AB87="","",VLOOKUP($AB87,$B$109:$Y$167,23,FALSE))</f>
        <v>204370</v>
      </c>
      <c r="AH87" s="487">
        <f t="shared" ref="AH87:AH93" si="14">AG87+$AE$87</f>
        <v>204370</v>
      </c>
    </row>
    <row r="88" spans="2:34" ht="15.75" x14ac:dyDescent="0.25">
      <c r="B88" s="601"/>
      <c r="C88" s="601"/>
      <c r="D88" s="601"/>
      <c r="E88" s="284"/>
      <c r="F88" s="284"/>
      <c r="G88" s="284"/>
      <c r="H88" s="284"/>
      <c r="I88" s="285"/>
      <c r="J88" s="286"/>
      <c r="K88" s="600"/>
      <c r="L88" s="600"/>
      <c r="M88" s="600"/>
      <c r="N88" s="3"/>
      <c r="O88" s="75"/>
      <c r="P88" s="77"/>
      <c r="Q88" s="77"/>
      <c r="R88" s="275" t="s">
        <v>188</v>
      </c>
      <c r="S88" s="281">
        <v>7.1640845835820824E-2</v>
      </c>
      <c r="T88" s="269">
        <v>39000</v>
      </c>
      <c r="U88" s="269">
        <v>34400</v>
      </c>
      <c r="V88" s="456">
        <v>25100</v>
      </c>
      <c r="W88" s="456">
        <v>11400</v>
      </c>
      <c r="X88" s="424">
        <v>45.5</v>
      </c>
      <c r="Y88" s="441">
        <v>32.299999999999997</v>
      </c>
      <c r="Z88" s="444">
        <v>18</v>
      </c>
      <c r="AB88" s="500" t="s">
        <v>187</v>
      </c>
      <c r="AC88" s="492">
        <f t="shared" si="10"/>
        <v>48</v>
      </c>
      <c r="AD88" s="493">
        <f t="shared" si="11"/>
        <v>24.1</v>
      </c>
      <c r="AE88" s="487">
        <f t="shared" ref="AE88:AE93" si="15">AA88</f>
        <v>0</v>
      </c>
      <c r="AF88" s="487">
        <f t="shared" si="12"/>
        <v>16700.599999999999</v>
      </c>
      <c r="AG88" s="487">
        <f t="shared" si="13"/>
        <v>167006</v>
      </c>
      <c r="AH88" s="487">
        <f t="shared" si="14"/>
        <v>167006</v>
      </c>
    </row>
    <row r="89" spans="2:34" ht="15.75" x14ac:dyDescent="0.25">
      <c r="B89" s="601"/>
      <c r="C89" s="601"/>
      <c r="D89" s="601"/>
      <c r="E89" s="284"/>
      <c r="F89" s="284"/>
      <c r="G89" s="284"/>
      <c r="H89" s="284"/>
      <c r="I89" s="285"/>
      <c r="J89" s="286"/>
      <c r="K89" s="600"/>
      <c r="L89" s="600"/>
      <c r="M89" s="600"/>
      <c r="N89" s="3"/>
      <c r="O89" s="77"/>
      <c r="P89" s="77"/>
      <c r="Q89" s="77"/>
      <c r="R89" s="275" t="s">
        <v>189</v>
      </c>
      <c r="S89" s="281">
        <v>0.22134902811616758</v>
      </c>
      <c r="T89" s="269">
        <v>46300</v>
      </c>
      <c r="U89" s="269">
        <v>42900</v>
      </c>
      <c r="V89" s="456">
        <v>39200</v>
      </c>
      <c r="W89" s="456">
        <v>32000</v>
      </c>
      <c r="X89" s="424">
        <v>40.799999999999997</v>
      </c>
      <c r="Y89" s="441">
        <v>35.5</v>
      </c>
      <c r="Z89" s="444">
        <v>28</v>
      </c>
      <c r="AB89" s="500" t="s">
        <v>188</v>
      </c>
      <c r="AC89" s="492">
        <f t="shared" si="10"/>
        <v>18</v>
      </c>
      <c r="AD89" s="493">
        <f t="shared" si="11"/>
        <v>13.6</v>
      </c>
      <c r="AE89" s="487">
        <f t="shared" si="15"/>
        <v>0</v>
      </c>
      <c r="AF89" s="487">
        <f t="shared" si="12"/>
        <v>9427.6</v>
      </c>
      <c r="AG89" s="487">
        <f t="shared" si="13"/>
        <v>94276</v>
      </c>
      <c r="AH89" s="487">
        <f t="shared" si="14"/>
        <v>94276</v>
      </c>
    </row>
    <row r="90" spans="2:34" ht="15.75" x14ac:dyDescent="0.25">
      <c r="B90" s="601"/>
      <c r="C90" s="601"/>
      <c r="D90" s="601"/>
      <c r="E90" s="284"/>
      <c r="F90" s="284"/>
      <c r="G90" s="284"/>
      <c r="H90" s="284"/>
      <c r="I90" s="285"/>
      <c r="J90" s="286"/>
      <c r="K90" s="600"/>
      <c r="L90" s="600"/>
      <c r="M90" s="600"/>
      <c r="N90" s="3"/>
      <c r="O90" s="75"/>
      <c r="P90" s="77"/>
      <c r="Q90" s="77"/>
      <c r="R90" s="275" t="s">
        <v>190</v>
      </c>
      <c r="S90" s="281">
        <v>0.17558381474714727</v>
      </c>
      <c r="T90" s="269">
        <v>53400</v>
      </c>
      <c r="U90" s="269">
        <v>50600</v>
      </c>
      <c r="V90" s="456">
        <v>47500</v>
      </c>
      <c r="W90" s="456">
        <v>44300</v>
      </c>
      <c r="X90" s="424">
        <v>36.200000000000003</v>
      </c>
      <c r="Y90" s="441">
        <v>32.299999999999997</v>
      </c>
      <c r="Z90" s="444">
        <v>28.8</v>
      </c>
      <c r="AB90" s="500" t="s">
        <v>189</v>
      </c>
      <c r="AC90" s="492">
        <f t="shared" si="10"/>
        <v>12</v>
      </c>
      <c r="AD90" s="493">
        <f t="shared" si="11"/>
        <v>12.6</v>
      </c>
      <c r="AE90" s="487">
        <f t="shared" si="15"/>
        <v>0</v>
      </c>
      <c r="AF90" s="487">
        <f t="shared" si="12"/>
        <v>8741.6</v>
      </c>
      <c r="AG90" s="487">
        <f t="shared" si="13"/>
        <v>87416</v>
      </c>
      <c r="AH90" s="487">
        <f t="shared" si="14"/>
        <v>87416</v>
      </c>
    </row>
    <row r="91" spans="2:34" ht="15.75" x14ac:dyDescent="0.25">
      <c r="B91" s="601"/>
      <c r="C91" s="601"/>
      <c r="D91" s="601"/>
      <c r="E91" s="284"/>
      <c r="F91" s="284"/>
      <c r="G91" s="284"/>
      <c r="H91" s="284"/>
      <c r="I91" s="285"/>
      <c r="J91" s="286"/>
      <c r="K91" s="629"/>
      <c r="L91" s="629"/>
      <c r="M91" s="629"/>
      <c r="N91" s="3"/>
      <c r="O91" s="77"/>
      <c r="P91" s="77"/>
      <c r="Q91" s="77"/>
      <c r="R91" s="275" t="s">
        <v>191</v>
      </c>
      <c r="S91" s="281">
        <v>0.16256553038179231</v>
      </c>
      <c r="T91" s="269">
        <v>59900</v>
      </c>
      <c r="U91" s="269">
        <v>57400</v>
      </c>
      <c r="V91" s="456">
        <v>54400</v>
      </c>
      <c r="W91" s="456">
        <v>52100</v>
      </c>
      <c r="X91" s="424">
        <v>31.8</v>
      </c>
      <c r="Y91" s="441">
        <v>28.5</v>
      </c>
      <c r="Z91" s="444">
        <v>25.9</v>
      </c>
      <c r="AB91" s="500" t="s">
        <v>190</v>
      </c>
      <c r="AC91" s="492">
        <f t="shared" si="10"/>
        <v>10</v>
      </c>
      <c r="AD91" s="493">
        <f t="shared" si="11"/>
        <v>14</v>
      </c>
      <c r="AE91" s="487">
        <f t="shared" si="15"/>
        <v>0</v>
      </c>
      <c r="AF91" s="487">
        <f t="shared" si="12"/>
        <v>9684</v>
      </c>
      <c r="AG91" s="487">
        <f t="shared" si="13"/>
        <v>96840</v>
      </c>
      <c r="AH91" s="487">
        <f t="shared" si="14"/>
        <v>96840</v>
      </c>
    </row>
    <row r="92" spans="2:34" ht="16.5" thickBot="1" x14ac:dyDescent="0.3">
      <c r="B92" s="601"/>
      <c r="C92" s="601"/>
      <c r="D92" s="601"/>
      <c r="E92" s="284"/>
      <c r="F92" s="284"/>
      <c r="G92" s="284"/>
      <c r="H92" s="284"/>
      <c r="I92" s="285"/>
      <c r="J92" s="286"/>
      <c r="K92" s="629"/>
      <c r="L92" s="629"/>
      <c r="M92" s="629"/>
      <c r="N92" s="3"/>
      <c r="O92" s="75"/>
      <c r="P92" s="76"/>
      <c r="Q92" s="77"/>
      <c r="R92" s="276" t="s">
        <v>192</v>
      </c>
      <c r="S92" s="282">
        <v>9.7860599568088541E-2</v>
      </c>
      <c r="T92" s="274">
        <v>61500</v>
      </c>
      <c r="U92" s="274">
        <v>59100</v>
      </c>
      <c r="V92" s="459">
        <v>56300</v>
      </c>
      <c r="W92" s="459">
        <v>53800</v>
      </c>
      <c r="X92" s="425">
        <v>30.9</v>
      </c>
      <c r="Y92" s="445">
        <v>27.9</v>
      </c>
      <c r="Z92" s="446">
        <v>25.1</v>
      </c>
      <c r="AB92" s="500" t="s">
        <v>191</v>
      </c>
      <c r="AC92" s="492">
        <f t="shared" si="10"/>
        <v>9</v>
      </c>
      <c r="AD92" s="493">
        <f t="shared" si="11"/>
        <v>16.2</v>
      </c>
      <c r="AE92" s="487">
        <f t="shared" si="15"/>
        <v>0</v>
      </c>
      <c r="AF92" s="487">
        <f t="shared" si="12"/>
        <v>11249.2</v>
      </c>
      <c r="AG92" s="487">
        <f t="shared" si="13"/>
        <v>112492</v>
      </c>
      <c r="AH92" s="487">
        <f t="shared" si="14"/>
        <v>112492</v>
      </c>
    </row>
    <row r="93" spans="2:34" ht="18" x14ac:dyDescent="0.25">
      <c r="B93" s="68"/>
      <c r="C93" s="68"/>
      <c r="D93" s="68"/>
      <c r="E93" s="69"/>
      <c r="F93" s="69"/>
      <c r="G93" s="69"/>
      <c r="H93" s="69"/>
      <c r="I93" s="70"/>
      <c r="J93" s="71"/>
      <c r="K93" s="3"/>
      <c r="L93" s="3"/>
      <c r="M93" s="3"/>
      <c r="N93" s="3"/>
      <c r="O93" s="3"/>
      <c r="P93" s="3"/>
      <c r="Q93" s="3"/>
      <c r="R93" s="632" t="s">
        <v>198</v>
      </c>
      <c r="S93" s="632"/>
      <c r="T93" s="632"/>
      <c r="U93" s="632"/>
      <c r="V93" s="632"/>
      <c r="W93" s="632"/>
      <c r="X93" s="632"/>
      <c r="Y93" s="4"/>
      <c r="AB93" s="500" t="s">
        <v>192</v>
      </c>
      <c r="AC93" s="492">
        <f>IF(H157=0,G157,H157)</f>
        <v>8</v>
      </c>
      <c r="AD93" s="493">
        <f t="shared" si="11"/>
        <v>15.3</v>
      </c>
      <c r="AE93" s="487">
        <f t="shared" si="15"/>
        <v>0</v>
      </c>
      <c r="AF93" s="487">
        <f t="shared" si="12"/>
        <v>10599.8</v>
      </c>
      <c r="AG93" s="487">
        <f t="shared" si="13"/>
        <v>105998</v>
      </c>
      <c r="AH93" s="487">
        <f t="shared" si="14"/>
        <v>105998</v>
      </c>
    </row>
    <row r="94" spans="2:34" ht="16.5" customHeight="1" x14ac:dyDescent="0.25">
      <c r="B94" s="3"/>
      <c r="C94" s="3"/>
      <c r="D94" s="3"/>
      <c r="E94" s="72"/>
      <c r="F94" s="69"/>
      <c r="G94" s="69"/>
      <c r="H94" s="69"/>
      <c r="I94" s="73"/>
      <c r="J94" s="73"/>
      <c r="K94" s="70"/>
      <c r="L94" s="74"/>
      <c r="M94" s="75"/>
      <c r="N94" s="76"/>
      <c r="O94" s="77"/>
      <c r="P94" s="4"/>
      <c r="Q94" s="67"/>
      <c r="AB94" s="497"/>
      <c r="AC94" s="497"/>
      <c r="AD94" s="497"/>
      <c r="AE94" s="499"/>
      <c r="AF94" s="499"/>
      <c r="AG94" s="499"/>
      <c r="AH94" s="499"/>
    </row>
    <row r="95" spans="2:34" ht="16.5" thickBot="1" x14ac:dyDescent="0.3">
      <c r="B95" s="3"/>
      <c r="C95" s="3"/>
      <c r="D95" s="3"/>
      <c r="E95" s="72"/>
      <c r="F95" s="69"/>
      <c r="G95" s="69"/>
      <c r="H95" s="69"/>
      <c r="I95" s="69"/>
      <c r="J95" s="73"/>
      <c r="K95" s="70"/>
      <c r="L95" s="74"/>
      <c r="M95" s="75"/>
      <c r="N95" s="76"/>
      <c r="O95" s="76"/>
      <c r="P95" s="77"/>
      <c r="Q95" s="3"/>
      <c r="R95" s="67"/>
      <c r="S95" s="3"/>
      <c r="T95" s="3"/>
      <c r="U95" s="3"/>
      <c r="V95" s="3"/>
      <c r="W95" s="3"/>
      <c r="X95" s="3"/>
      <c r="Y95" s="3"/>
      <c r="Z95" s="3"/>
      <c r="AA95" s="3"/>
      <c r="AB95" s="3"/>
      <c r="AC95" s="1"/>
      <c r="AE95" s="1"/>
      <c r="AG95" s="1"/>
    </row>
    <row r="96" spans="2:34" ht="15.75" customHeight="1" x14ac:dyDescent="0.25">
      <c r="B96" s="628" t="s">
        <v>133</v>
      </c>
      <c r="C96" s="628"/>
      <c r="D96" s="604" t="s">
        <v>233</v>
      </c>
      <c r="E96" s="604"/>
      <c r="F96" s="604"/>
      <c r="G96" s="604"/>
      <c r="H96" s="604"/>
      <c r="I96" s="604"/>
      <c r="J96" s="604"/>
      <c r="K96" s="604"/>
      <c r="L96" s="604"/>
      <c r="M96" s="604"/>
      <c r="N96" s="358"/>
      <c r="O96" s="358"/>
      <c r="P96" s="358"/>
      <c r="Q96" s="358"/>
      <c r="R96" s="630" t="s">
        <v>35</v>
      </c>
      <c r="S96" s="630"/>
      <c r="T96" s="630"/>
      <c r="U96" s="630" t="s">
        <v>36</v>
      </c>
      <c r="V96" s="630"/>
      <c r="W96" s="630"/>
      <c r="X96" s="630"/>
      <c r="Y96" s="630"/>
      <c r="Z96" s="359"/>
      <c r="AA96" s="359"/>
      <c r="AB96" s="618" t="s">
        <v>202</v>
      </c>
      <c r="AC96" s="619"/>
      <c r="AD96" s="619"/>
      <c r="AE96" s="619"/>
      <c r="AF96" s="619"/>
      <c r="AG96" s="620"/>
      <c r="AH96" s="97"/>
    </row>
    <row r="97" spans="2:34" ht="29.25" customHeight="1" thickBot="1" x14ac:dyDescent="0.3">
      <c r="B97" s="360"/>
      <c r="C97" s="361"/>
      <c r="D97" s="605"/>
      <c r="E97" s="605"/>
      <c r="F97" s="605"/>
      <c r="G97" s="605"/>
      <c r="H97" s="605"/>
      <c r="I97" s="605"/>
      <c r="J97" s="605"/>
      <c r="K97" s="605"/>
      <c r="L97" s="605"/>
      <c r="M97" s="605"/>
      <c r="N97" s="358"/>
      <c r="O97" s="358"/>
      <c r="P97" s="358"/>
      <c r="Q97" s="358"/>
      <c r="R97" s="631"/>
      <c r="S97" s="631"/>
      <c r="T97" s="631"/>
      <c r="U97" s="631"/>
      <c r="V97" s="631"/>
      <c r="W97" s="631"/>
      <c r="X97" s="631"/>
      <c r="Y97" s="631"/>
      <c r="Z97" s="359"/>
      <c r="AA97" s="359"/>
      <c r="AB97" s="621"/>
      <c r="AC97" s="622"/>
      <c r="AD97" s="622"/>
      <c r="AE97" s="622"/>
      <c r="AF97" s="622"/>
      <c r="AG97" s="623"/>
      <c r="AH97" s="198"/>
    </row>
    <row r="98" spans="2:34" ht="15.75" x14ac:dyDescent="0.25">
      <c r="B98" s="362" t="s">
        <v>6</v>
      </c>
      <c r="C98" s="363"/>
      <c r="D98" s="363"/>
      <c r="E98" s="363" t="s">
        <v>7</v>
      </c>
      <c r="F98" s="364" t="s">
        <v>8</v>
      </c>
      <c r="G98" s="365" t="s">
        <v>9</v>
      </c>
      <c r="H98" s="365" t="s">
        <v>76</v>
      </c>
      <c r="I98" s="365" t="s">
        <v>10</v>
      </c>
      <c r="J98" s="365" t="s">
        <v>79</v>
      </c>
      <c r="K98" s="365" t="s">
        <v>11</v>
      </c>
      <c r="L98" s="365" t="s">
        <v>78</v>
      </c>
      <c r="M98" s="366" t="s">
        <v>75</v>
      </c>
      <c r="N98" s="367"/>
      <c r="O98" s="367"/>
      <c r="P98" s="367"/>
      <c r="Q98" s="367"/>
      <c r="R98" s="365" t="s">
        <v>17</v>
      </c>
      <c r="S98" s="363" t="s">
        <v>18</v>
      </c>
      <c r="T98" s="368" t="s">
        <v>18</v>
      </c>
      <c r="U98" s="369"/>
      <c r="V98" s="624" t="s">
        <v>19</v>
      </c>
      <c r="W98" s="625"/>
      <c r="X98" s="624" t="s">
        <v>20</v>
      </c>
      <c r="Y98" s="625"/>
      <c r="Z98" s="439" t="s">
        <v>117</v>
      </c>
      <c r="AA98" s="440"/>
      <c r="AB98" s="370"/>
      <c r="AC98" s="371" t="s">
        <v>0</v>
      </c>
      <c r="AD98" s="371" t="s">
        <v>1</v>
      </c>
      <c r="AE98" s="371" t="s">
        <v>40</v>
      </c>
      <c r="AF98" s="371" t="s">
        <v>3</v>
      </c>
      <c r="AG98" s="372" t="s">
        <v>32</v>
      </c>
      <c r="AH98" s="198"/>
    </row>
    <row r="99" spans="2:34" ht="32.25" thickBot="1" x14ac:dyDescent="0.3">
      <c r="B99" s="460"/>
      <c r="C99" s="359"/>
      <c r="D99" s="359"/>
      <c r="E99" s="373" t="s">
        <v>12</v>
      </c>
      <c r="F99" s="374" t="s">
        <v>13</v>
      </c>
      <c r="G99" s="375" t="s">
        <v>14</v>
      </c>
      <c r="H99" s="375" t="s">
        <v>77</v>
      </c>
      <c r="I99" s="375" t="s">
        <v>15</v>
      </c>
      <c r="J99" s="375" t="s">
        <v>80</v>
      </c>
      <c r="K99" s="376" t="s">
        <v>81</v>
      </c>
      <c r="L99" s="375" t="s">
        <v>16</v>
      </c>
      <c r="M99" s="377" t="s">
        <v>16</v>
      </c>
      <c r="N99" s="367"/>
      <c r="O99" s="367"/>
      <c r="P99" s="367"/>
      <c r="Q99" s="367"/>
      <c r="R99" s="378" t="s">
        <v>29</v>
      </c>
      <c r="S99" s="361" t="s">
        <v>30</v>
      </c>
      <c r="T99" s="379" t="s">
        <v>31</v>
      </c>
      <c r="U99" s="380" t="s">
        <v>37</v>
      </c>
      <c r="V99" s="381" t="s">
        <v>38</v>
      </c>
      <c r="W99" s="382" t="s">
        <v>39</v>
      </c>
      <c r="X99" s="383" t="str">
        <f>+V99</f>
        <v>Electricity</v>
      </c>
      <c r="Y99" s="382" t="str">
        <f>+W99</f>
        <v>Total</v>
      </c>
      <c r="Z99" s="384" t="s">
        <v>118</v>
      </c>
      <c r="AA99" s="385" t="s">
        <v>119</v>
      </c>
      <c r="AB99" s="370"/>
      <c r="AC99" s="371" t="s">
        <v>2</v>
      </c>
      <c r="AD99" s="371" t="s">
        <v>2</v>
      </c>
      <c r="AE99" s="386"/>
      <c r="AF99" s="386"/>
      <c r="AG99" s="372" t="s">
        <v>33</v>
      </c>
      <c r="AH99" s="198"/>
    </row>
    <row r="100" spans="2:34" ht="15.75" x14ac:dyDescent="0.25">
      <c r="B100" s="461" t="str">
        <f t="shared" ref="B100:B107" si="16">IF(B59="","",B59)</f>
        <v>Hired Hand 6603-7403 52" (60Hz) CONE 1hp</v>
      </c>
      <c r="C100" s="462"/>
      <c r="D100" s="463"/>
      <c r="E100" s="134">
        <f t="shared" ref="E100:E124" si="17">IF(B100="","",IF($H$14&gt;3.65,50,IF($H$14&gt;=3,37.5, IF($H$14&gt;=2.25,25,IF($H$14&gt;=1.5,12.5,0.05)))))</f>
        <v>37.5</v>
      </c>
      <c r="F100" s="111">
        <f t="shared" ref="F100:F124" si="18">IF(E100="","",IF($H$14&gt;3.65,H59,IF($H$14&gt;=3,G59, IF($H$14&gt;=2.25,F59,IF($H$14&gt;=1.5,E59,E59)))))</f>
        <v>40946</v>
      </c>
      <c r="G100" s="106">
        <f t="shared" ref="G100:G124" si="19">+IF(B59="","",ROUNDUP(AF100/F100,0))</f>
        <v>11</v>
      </c>
      <c r="H100" s="112">
        <f>IF(B$23=B100,E$23,IF(B$24=B100,E$24,IF(B$25=B100,E$25,IF(B$26=B100,E$26,IF(B$28=B100,E$28,0)))))</f>
        <v>0</v>
      </c>
      <c r="I100" s="113">
        <f t="shared" ref="I100:I124" si="20">+IF(F100="","",IF(H100&gt;0,ROUND(F100*H100,-2),ROUND(F100*G100,-2)))</f>
        <v>450400</v>
      </c>
      <c r="J100" s="114">
        <f t="shared" ref="J100:J124" si="21">+IF(I59="","",IF(H100&gt;0,ROUND((H100*(($F59)/(($I59)))/1000),1),ROUND((G100*(($F59)/(($I59)))/1000),1)))</f>
        <v>13.7</v>
      </c>
      <c r="K100" s="107">
        <f t="shared" ref="K100:K124" si="22">+IF(I59="","",IF(H100&gt;0,ROUND((H100*(($F59)/(($I59)))/1000*$H$13*$H$11),-1),ROUND((G100*(($F59)/(($I59)))/1000*$H$13*$H$11),-1)))+Z100</f>
        <v>9504.2000000000007</v>
      </c>
      <c r="L100" s="115">
        <f t="shared" ref="L100:L124" si="23">+IF(I100="","",ROUND((I100/($C$12*($C$13+$C$14)/2)/3600),2))</f>
        <v>3.6</v>
      </c>
      <c r="M100" s="116">
        <f t="shared" ref="M100:M124" si="24">IF(L100="","",IF(L100&gt;3.302,0.8676*3.302^2+0.0787*3.302-0.0034,0.8676*L100^2+0.0787*L100-0.0034))</f>
        <v>9.7160871904000015</v>
      </c>
      <c r="N100" s="76"/>
      <c r="O100" s="76"/>
      <c r="P100" s="76"/>
      <c r="Q100" s="76"/>
      <c r="R100" s="108">
        <f t="shared" ref="R100:R131" si="25">+IF(B100="","",IF(H100&gt;0,H100*AG100/6858,G100*AG100/6858))</f>
        <v>70.037182852143488</v>
      </c>
      <c r="S100" s="117">
        <f t="shared" ref="S100:S131" si="26">+IF(B100="","",I100*0.00334)</f>
        <v>1504.336</v>
      </c>
      <c r="T100" s="118">
        <f t="shared" ref="T100:T131" si="27">+IF(B100="","",I100*0.00631)</f>
        <v>2842.0239999999999</v>
      </c>
      <c r="U100" s="109">
        <f t="shared" ref="U100:U124" si="28">IF(J59="","",IF(H100&gt;0,J59*H100,J59*G100))</f>
        <v>16500</v>
      </c>
      <c r="V100" s="119">
        <f t="shared" ref="V100:V131" si="29">+IF(K100="","",K100*5)</f>
        <v>47521</v>
      </c>
      <c r="W100" s="120">
        <f t="shared" ref="W100:W124" si="30">IF(U100="","",+U100+V100)</f>
        <v>64021</v>
      </c>
      <c r="X100" s="121">
        <f t="shared" ref="X100:X124" si="31">+IF(V100="","",V100*2)</f>
        <v>95042</v>
      </c>
      <c r="Y100" s="122">
        <f t="shared" ref="Y100:Y124" si="32">+IF(U100="","",X100+U100)</f>
        <v>111542</v>
      </c>
      <c r="Z100" s="123">
        <f t="shared" ref="Z100:Z131" si="33">(J100*$H$12)*5.5</f>
        <v>904.19999999999982</v>
      </c>
      <c r="AA100" s="142">
        <f t="shared" ref="AA100:AA131" si="34">Z100*10</f>
        <v>9041.9999999999982</v>
      </c>
      <c r="AB100" s="292"/>
      <c r="AC100" s="290">
        <f t="shared" ref="AC100:AC124" si="35">+IF(I59="","",IF(I59&gt;=37.38,4,IF(I59&gt;=35.68,3,IF(I59&gt;=33.98,2,IF(I59&gt;=32.28,1,0)))))</f>
        <v>2</v>
      </c>
      <c r="AD100" s="290">
        <f t="shared" ref="AD100:AD124" si="36">+IF(OR(H59="",E59=""),"",IF(N100&gt;0.82,4,IF(N100&gt;0.77,3,IF(N100&gt;0.72,2,IF(N100&gt;=0.7,1,0)))))</f>
        <v>0</v>
      </c>
      <c r="AE100" s="290">
        <f t="shared" ref="AE100:AE153" si="37">+($C$13+$C$14)/2*$C$12*$H$14*3600</f>
        <v>438479.99999999994</v>
      </c>
      <c r="AF100" s="290">
        <f t="shared" ref="AF100:AF124" si="38">+IF(AE100&gt;$AF$97,AE100,$AF$97)</f>
        <v>438479.99999999994</v>
      </c>
      <c r="AG100" s="293">
        <f t="shared" ref="AG100:AG124" si="39">IF($H$14&gt;3.556,G59,IF($H$14&gt;=3.048,F59, IF($H$14&gt;=2.286,E59,IF($H$14&gt;=1.524,E59,E59))))</f>
        <v>43665</v>
      </c>
      <c r="AH100" s="198"/>
    </row>
    <row r="101" spans="2:34" ht="15.75" x14ac:dyDescent="0.25">
      <c r="B101" s="132" t="str">
        <f t="shared" si="16"/>
        <v>Hired Hand 6603-6527 52.5" - Butterfly damper (60Hz) CONE 1hp</v>
      </c>
      <c r="C101" s="133"/>
      <c r="D101" s="135"/>
      <c r="E101" s="134">
        <f t="shared" si="17"/>
        <v>37.5</v>
      </c>
      <c r="F101" s="111">
        <f t="shared" si="18"/>
        <v>39925</v>
      </c>
      <c r="G101" s="106">
        <f t="shared" si="19"/>
        <v>11</v>
      </c>
      <c r="H101" s="112">
        <f t="shared" ref="H101:H130" si="40">IF(B$23=B101,E$23,IF(B$24=B101,E$24,IF(B$25=B101,E$25,IF(B$26=B101,E$26,IF(B$28=B101,E$28,0)))))</f>
        <v>0</v>
      </c>
      <c r="I101" s="113">
        <f t="shared" si="20"/>
        <v>439200</v>
      </c>
      <c r="J101" s="114">
        <f t="shared" si="21"/>
        <v>14.6</v>
      </c>
      <c r="K101" s="107">
        <f t="shared" si="22"/>
        <v>10143.6</v>
      </c>
      <c r="L101" s="115">
        <f t="shared" si="23"/>
        <v>3.51</v>
      </c>
      <c r="M101" s="116">
        <f t="shared" si="24"/>
        <v>9.7160871904000015</v>
      </c>
      <c r="N101" s="76"/>
      <c r="O101" s="76"/>
      <c r="P101" s="76"/>
      <c r="Q101" s="76"/>
      <c r="R101" s="108">
        <f t="shared" si="25"/>
        <v>70.037182852143488</v>
      </c>
      <c r="S101" s="117">
        <f t="shared" si="26"/>
        <v>1466.9280000000001</v>
      </c>
      <c r="T101" s="118">
        <f t="shared" si="27"/>
        <v>2771.3519999999999</v>
      </c>
      <c r="U101" s="109">
        <f t="shared" si="28"/>
        <v>16489</v>
      </c>
      <c r="V101" s="119">
        <f t="shared" si="29"/>
        <v>50718</v>
      </c>
      <c r="W101" s="120">
        <f t="shared" si="30"/>
        <v>67207</v>
      </c>
      <c r="X101" s="121">
        <f t="shared" si="31"/>
        <v>101436</v>
      </c>
      <c r="Y101" s="122">
        <f t="shared" si="32"/>
        <v>117925</v>
      </c>
      <c r="Z101" s="123">
        <f t="shared" si="33"/>
        <v>963.59999999999991</v>
      </c>
      <c r="AA101" s="142">
        <f t="shared" si="34"/>
        <v>9636</v>
      </c>
      <c r="AB101" s="292"/>
      <c r="AC101" s="290">
        <f t="shared" si="35"/>
        <v>1</v>
      </c>
      <c r="AD101" s="290">
        <f t="shared" si="36"/>
        <v>0</v>
      </c>
      <c r="AE101" s="290">
        <f t="shared" si="37"/>
        <v>438479.99999999994</v>
      </c>
      <c r="AF101" s="290">
        <f t="shared" si="38"/>
        <v>438479.99999999994</v>
      </c>
      <c r="AG101" s="293">
        <f t="shared" si="39"/>
        <v>43665</v>
      </c>
      <c r="AH101" s="198"/>
    </row>
    <row r="102" spans="2:34" ht="15.75" x14ac:dyDescent="0.25">
      <c r="B102" s="132" t="str">
        <f t="shared" si="16"/>
        <v>Hired Hand 6603-3000 52.5" - CONE 1.5hp</v>
      </c>
      <c r="C102" s="133"/>
      <c r="D102" s="135"/>
      <c r="E102" s="134">
        <f t="shared" si="17"/>
        <v>37.5</v>
      </c>
      <c r="F102" s="111">
        <f t="shared" si="18"/>
        <v>37038</v>
      </c>
      <c r="G102" s="106">
        <f t="shared" si="19"/>
        <v>12</v>
      </c>
      <c r="H102" s="112">
        <f t="shared" si="40"/>
        <v>0</v>
      </c>
      <c r="I102" s="113">
        <f t="shared" si="20"/>
        <v>444500</v>
      </c>
      <c r="J102" s="114">
        <f t="shared" si="21"/>
        <v>14.8</v>
      </c>
      <c r="K102" s="107">
        <f t="shared" si="22"/>
        <v>10236.799999999999</v>
      </c>
      <c r="L102" s="115">
        <f t="shared" si="23"/>
        <v>3.55</v>
      </c>
      <c r="M102" s="116">
        <f t="shared" si="24"/>
        <v>9.7160871904000015</v>
      </c>
      <c r="N102" s="76"/>
      <c r="O102" s="76"/>
      <c r="P102" s="76"/>
      <c r="Q102" s="76"/>
      <c r="R102" s="108">
        <f t="shared" si="25"/>
        <v>71.049868766404202</v>
      </c>
      <c r="S102" s="117">
        <f t="shared" si="26"/>
        <v>1484.63</v>
      </c>
      <c r="T102" s="118">
        <f t="shared" si="27"/>
        <v>2804.7949999999996</v>
      </c>
      <c r="U102" s="109">
        <f t="shared" si="28"/>
        <v>23808</v>
      </c>
      <c r="V102" s="119">
        <f t="shared" si="29"/>
        <v>51184</v>
      </c>
      <c r="W102" s="120">
        <f t="shared" si="30"/>
        <v>74992</v>
      </c>
      <c r="X102" s="121">
        <f t="shared" si="31"/>
        <v>102368</v>
      </c>
      <c r="Y102" s="122">
        <f t="shared" si="32"/>
        <v>126176</v>
      </c>
      <c r="Z102" s="123">
        <f t="shared" si="33"/>
        <v>976.80000000000018</v>
      </c>
      <c r="AA102" s="142">
        <f t="shared" si="34"/>
        <v>9768.0000000000018</v>
      </c>
      <c r="AB102" s="292"/>
      <c r="AC102" s="290">
        <f t="shared" si="35"/>
        <v>1</v>
      </c>
      <c r="AD102" s="290">
        <f t="shared" si="36"/>
        <v>0</v>
      </c>
      <c r="AE102" s="290">
        <f t="shared" si="37"/>
        <v>438479.99999999994</v>
      </c>
      <c r="AF102" s="290">
        <f t="shared" si="38"/>
        <v>438479.99999999994</v>
      </c>
      <c r="AG102" s="293">
        <f t="shared" si="39"/>
        <v>40605</v>
      </c>
      <c r="AH102" s="198"/>
    </row>
    <row r="103" spans="2:34" ht="15.75" x14ac:dyDescent="0.25">
      <c r="B103" s="132" t="str">
        <f t="shared" si="16"/>
        <v>Hired Hand 6603-8010 54" - CONE 1.5hp</v>
      </c>
      <c r="C103" s="133"/>
      <c r="D103" s="135"/>
      <c r="E103" s="134">
        <f t="shared" si="17"/>
        <v>37.5</v>
      </c>
      <c r="F103" s="111">
        <f t="shared" si="18"/>
        <v>39417</v>
      </c>
      <c r="G103" s="106">
        <f t="shared" si="19"/>
        <v>12</v>
      </c>
      <c r="H103" s="112">
        <f t="shared" si="40"/>
        <v>0</v>
      </c>
      <c r="I103" s="113">
        <f t="shared" si="20"/>
        <v>473000</v>
      </c>
      <c r="J103" s="114">
        <f t="shared" si="21"/>
        <v>12.4</v>
      </c>
      <c r="K103" s="107">
        <f t="shared" si="22"/>
        <v>8608.4</v>
      </c>
      <c r="L103" s="115">
        <f t="shared" si="23"/>
        <v>3.78</v>
      </c>
      <c r="M103" s="116">
        <f t="shared" si="24"/>
        <v>9.7160871904000015</v>
      </c>
      <c r="N103" s="76"/>
      <c r="O103" s="76"/>
      <c r="P103" s="76"/>
      <c r="Q103" s="76"/>
      <c r="R103" s="108">
        <f t="shared" si="25"/>
        <v>74.619422572178479</v>
      </c>
      <c r="S103" s="117">
        <f t="shared" si="26"/>
        <v>1579.82</v>
      </c>
      <c r="T103" s="118">
        <f t="shared" si="27"/>
        <v>2984.6299999999997</v>
      </c>
      <c r="U103" s="109">
        <f t="shared" si="28"/>
        <v>23448</v>
      </c>
      <c r="V103" s="119">
        <f t="shared" si="29"/>
        <v>43042</v>
      </c>
      <c r="W103" s="120">
        <f t="shared" si="30"/>
        <v>66490</v>
      </c>
      <c r="X103" s="121">
        <f t="shared" si="31"/>
        <v>86084</v>
      </c>
      <c r="Y103" s="122">
        <f t="shared" si="32"/>
        <v>109532</v>
      </c>
      <c r="Z103" s="123">
        <f t="shared" si="33"/>
        <v>818.40000000000009</v>
      </c>
      <c r="AA103" s="142">
        <f t="shared" si="34"/>
        <v>8184.0000000000009</v>
      </c>
      <c r="AB103" s="292"/>
      <c r="AC103" s="290">
        <f t="shared" si="35"/>
        <v>4</v>
      </c>
      <c r="AD103" s="290">
        <f t="shared" si="36"/>
        <v>0</v>
      </c>
      <c r="AE103" s="290">
        <f t="shared" si="37"/>
        <v>438479.99999999994</v>
      </c>
      <c r="AF103" s="290">
        <f t="shared" si="38"/>
        <v>438479.99999999994</v>
      </c>
      <c r="AG103" s="293">
        <f t="shared" si="39"/>
        <v>42645</v>
      </c>
      <c r="AH103" s="198"/>
    </row>
    <row r="104" spans="2:34" ht="15.75" x14ac:dyDescent="0.25">
      <c r="B104" s="132" t="str">
        <f t="shared" si="16"/>
        <v>Munters Euroemme EM50 - 1hp</v>
      </c>
      <c r="C104" s="133"/>
      <c r="D104" s="135"/>
      <c r="E104" s="134">
        <f t="shared" si="17"/>
        <v>37.5</v>
      </c>
      <c r="F104" s="111">
        <f t="shared" si="18"/>
        <v>27713</v>
      </c>
      <c r="G104" s="106">
        <f t="shared" si="19"/>
        <v>16</v>
      </c>
      <c r="H104" s="112">
        <f t="shared" si="40"/>
        <v>0</v>
      </c>
      <c r="I104" s="113">
        <f t="shared" si="20"/>
        <v>443400</v>
      </c>
      <c r="J104" s="114">
        <f t="shared" si="21"/>
        <v>18.600000000000001</v>
      </c>
      <c r="K104" s="107">
        <f t="shared" si="22"/>
        <v>12877.6</v>
      </c>
      <c r="L104" s="115">
        <f t="shared" si="23"/>
        <v>3.54</v>
      </c>
      <c r="M104" s="116">
        <f t="shared" si="24"/>
        <v>9.7160871904000015</v>
      </c>
      <c r="N104" s="76"/>
      <c r="O104" s="76"/>
      <c r="P104" s="76"/>
      <c r="Q104" s="76"/>
      <c r="R104" s="108">
        <f t="shared" si="25"/>
        <v>71.825021872265964</v>
      </c>
      <c r="S104" s="117">
        <f t="shared" si="26"/>
        <v>1480.9560000000001</v>
      </c>
      <c r="T104" s="118">
        <f t="shared" si="27"/>
        <v>2797.8539999999998</v>
      </c>
      <c r="U104" s="109">
        <f t="shared" si="28"/>
        <v>15200</v>
      </c>
      <c r="V104" s="119">
        <f t="shared" si="29"/>
        <v>64388</v>
      </c>
      <c r="W104" s="120">
        <f t="shared" si="30"/>
        <v>79588</v>
      </c>
      <c r="X104" s="121">
        <f t="shared" si="31"/>
        <v>128776</v>
      </c>
      <c r="Y104" s="122">
        <f t="shared" si="32"/>
        <v>143976</v>
      </c>
      <c r="Z104" s="123">
        <f t="shared" si="33"/>
        <v>1227.6000000000001</v>
      </c>
      <c r="AA104" s="142">
        <f t="shared" si="34"/>
        <v>12276.000000000002</v>
      </c>
      <c r="AB104" s="292"/>
      <c r="AC104" s="290">
        <f t="shared" si="35"/>
        <v>0</v>
      </c>
      <c r="AD104" s="290">
        <f t="shared" si="36"/>
        <v>0</v>
      </c>
      <c r="AE104" s="290">
        <f t="shared" si="37"/>
        <v>438479.99999999994</v>
      </c>
      <c r="AF104" s="290">
        <f t="shared" si="38"/>
        <v>438479.99999999994</v>
      </c>
      <c r="AG104" s="293">
        <f t="shared" si="39"/>
        <v>30786</v>
      </c>
      <c r="AH104" s="198"/>
    </row>
    <row r="105" spans="2:34" ht="15.75" x14ac:dyDescent="0.25">
      <c r="B105" s="132" t="str">
        <f t="shared" si="16"/>
        <v>Munters Euroemme EM50 - 1.5hp</v>
      </c>
      <c r="C105" s="133"/>
      <c r="D105" s="135"/>
      <c r="E105" s="134">
        <f t="shared" si="17"/>
        <v>37.5</v>
      </c>
      <c r="F105" s="111">
        <f t="shared" si="18"/>
        <v>36028</v>
      </c>
      <c r="G105" s="106">
        <f t="shared" si="19"/>
        <v>13</v>
      </c>
      <c r="H105" s="112">
        <f t="shared" si="40"/>
        <v>0</v>
      </c>
      <c r="I105" s="113">
        <f t="shared" si="20"/>
        <v>468400</v>
      </c>
      <c r="J105" s="114">
        <f t="shared" si="21"/>
        <v>22.9</v>
      </c>
      <c r="K105" s="107">
        <f t="shared" si="22"/>
        <v>15841.4</v>
      </c>
      <c r="L105" s="115">
        <f t="shared" si="23"/>
        <v>3.74</v>
      </c>
      <c r="M105" s="116">
        <f t="shared" si="24"/>
        <v>9.7160871904000015</v>
      </c>
      <c r="N105" s="76"/>
      <c r="O105" s="76"/>
      <c r="P105" s="76"/>
      <c r="Q105" s="76"/>
      <c r="R105" s="108">
        <f t="shared" si="25"/>
        <v>72.548264800233298</v>
      </c>
      <c r="S105" s="117">
        <f t="shared" si="26"/>
        <v>1564.4560000000001</v>
      </c>
      <c r="T105" s="118">
        <f t="shared" si="27"/>
        <v>2955.6039999999998</v>
      </c>
      <c r="U105" s="109">
        <f t="shared" si="28"/>
        <v>13676</v>
      </c>
      <c r="V105" s="119">
        <f t="shared" si="29"/>
        <v>79207</v>
      </c>
      <c r="W105" s="120">
        <f t="shared" si="30"/>
        <v>92883</v>
      </c>
      <c r="X105" s="121">
        <f t="shared" si="31"/>
        <v>158414</v>
      </c>
      <c r="Y105" s="122">
        <f t="shared" si="32"/>
        <v>172090</v>
      </c>
      <c r="Z105" s="123">
        <f t="shared" si="33"/>
        <v>1511.3999999999996</v>
      </c>
      <c r="AA105" s="142">
        <f t="shared" si="34"/>
        <v>15113.999999999996</v>
      </c>
      <c r="AB105" s="292"/>
      <c r="AC105" s="290">
        <f t="shared" si="35"/>
        <v>0</v>
      </c>
      <c r="AD105" s="290">
        <f t="shared" si="36"/>
        <v>0</v>
      </c>
      <c r="AE105" s="290">
        <f t="shared" si="37"/>
        <v>438479.99999999994</v>
      </c>
      <c r="AF105" s="290">
        <f t="shared" si="38"/>
        <v>438479.99999999994</v>
      </c>
      <c r="AG105" s="293">
        <f t="shared" si="39"/>
        <v>38272</v>
      </c>
      <c r="AH105" s="198"/>
    </row>
    <row r="106" spans="2:34" ht="15.75" x14ac:dyDescent="0.25">
      <c r="B106" s="132" t="str">
        <f t="shared" si="16"/>
        <v>Munters Euroemme  EC-50 (60Hz, 1 phase) CONE 1hp</v>
      </c>
      <c r="C106" s="133"/>
      <c r="D106" s="135"/>
      <c r="E106" s="134">
        <f t="shared" si="17"/>
        <v>37.5</v>
      </c>
      <c r="F106" s="111">
        <f t="shared" si="18"/>
        <v>32640</v>
      </c>
      <c r="G106" s="106">
        <f t="shared" si="19"/>
        <v>14</v>
      </c>
      <c r="H106" s="112">
        <f t="shared" si="40"/>
        <v>0</v>
      </c>
      <c r="I106" s="113">
        <f t="shared" si="20"/>
        <v>457000</v>
      </c>
      <c r="J106" s="114">
        <f t="shared" si="21"/>
        <v>14.9</v>
      </c>
      <c r="K106" s="107">
        <f t="shared" si="22"/>
        <v>10333.4</v>
      </c>
      <c r="L106" s="115">
        <f t="shared" si="23"/>
        <v>3.65</v>
      </c>
      <c r="M106" s="116">
        <f t="shared" si="24"/>
        <v>9.7160871904000015</v>
      </c>
      <c r="N106" s="76"/>
      <c r="O106" s="76"/>
      <c r="P106" s="76"/>
      <c r="Q106" s="76"/>
      <c r="R106" s="108">
        <f t="shared" si="25"/>
        <v>73.225430154564009</v>
      </c>
      <c r="S106" s="117">
        <f t="shared" si="26"/>
        <v>1526.38</v>
      </c>
      <c r="T106" s="118">
        <f t="shared" si="27"/>
        <v>2883.6699999999996</v>
      </c>
      <c r="U106" s="109">
        <f t="shared" si="28"/>
        <v>19852</v>
      </c>
      <c r="V106" s="119">
        <f t="shared" si="29"/>
        <v>51667</v>
      </c>
      <c r="W106" s="120">
        <f t="shared" si="30"/>
        <v>71519</v>
      </c>
      <c r="X106" s="121">
        <f t="shared" si="31"/>
        <v>103334</v>
      </c>
      <c r="Y106" s="122">
        <f t="shared" si="32"/>
        <v>123186</v>
      </c>
      <c r="Z106" s="123">
        <f t="shared" si="33"/>
        <v>983.40000000000009</v>
      </c>
      <c r="AA106" s="142">
        <f t="shared" si="34"/>
        <v>9834</v>
      </c>
      <c r="AB106" s="292"/>
      <c r="AC106" s="290">
        <f t="shared" si="35"/>
        <v>1</v>
      </c>
      <c r="AD106" s="290">
        <f t="shared" si="36"/>
        <v>0</v>
      </c>
      <c r="AE106" s="290">
        <f t="shared" si="37"/>
        <v>438479.99999999994</v>
      </c>
      <c r="AF106" s="290">
        <f t="shared" si="38"/>
        <v>438479.99999999994</v>
      </c>
      <c r="AG106" s="293">
        <f t="shared" si="39"/>
        <v>35870</v>
      </c>
      <c r="AH106" s="198"/>
    </row>
    <row r="107" spans="2:34" ht="15.75" x14ac:dyDescent="0.25">
      <c r="B107" s="132" t="str">
        <f t="shared" si="16"/>
        <v>Munters Euroemme  EC-50 CONE 1.5hp</v>
      </c>
      <c r="C107" s="133"/>
      <c r="D107" s="135"/>
      <c r="E107" s="134">
        <f t="shared" si="17"/>
        <v>37.5</v>
      </c>
      <c r="F107" s="111">
        <f t="shared" si="18"/>
        <v>40450.726029558697</v>
      </c>
      <c r="G107" s="106">
        <f t="shared" si="19"/>
        <v>11</v>
      </c>
      <c r="H107" s="112">
        <f t="shared" si="40"/>
        <v>0</v>
      </c>
      <c r="I107" s="113">
        <f t="shared" si="20"/>
        <v>445000</v>
      </c>
      <c r="J107" s="114">
        <f t="shared" si="21"/>
        <v>17.5</v>
      </c>
      <c r="K107" s="107">
        <f t="shared" si="22"/>
        <v>12115</v>
      </c>
      <c r="L107" s="115">
        <f t="shared" si="23"/>
        <v>3.55</v>
      </c>
      <c r="M107" s="116">
        <f t="shared" si="24"/>
        <v>9.7160871904000015</v>
      </c>
      <c r="N107" s="76"/>
      <c r="O107" s="76"/>
      <c r="P107" s="76"/>
      <c r="Q107" s="76"/>
      <c r="R107" s="108">
        <f t="shared" si="25"/>
        <v>68.210426449889241</v>
      </c>
      <c r="S107" s="117">
        <f t="shared" si="26"/>
        <v>1486.3</v>
      </c>
      <c r="T107" s="118">
        <f t="shared" si="27"/>
        <v>2807.95</v>
      </c>
      <c r="U107" s="109">
        <f t="shared" si="28"/>
        <v>12331</v>
      </c>
      <c r="V107" s="119">
        <f t="shared" si="29"/>
        <v>60575</v>
      </c>
      <c r="W107" s="120">
        <f t="shared" si="30"/>
        <v>72906</v>
      </c>
      <c r="X107" s="121">
        <f t="shared" si="31"/>
        <v>121150</v>
      </c>
      <c r="Y107" s="122">
        <f t="shared" si="32"/>
        <v>133481</v>
      </c>
      <c r="Z107" s="123">
        <f t="shared" si="33"/>
        <v>1155</v>
      </c>
      <c r="AA107" s="142">
        <f t="shared" si="34"/>
        <v>11550</v>
      </c>
      <c r="AB107" s="292"/>
      <c r="AC107" s="290">
        <f t="shared" si="35"/>
        <v>0</v>
      </c>
      <c r="AD107" s="290">
        <f t="shared" si="36"/>
        <v>0</v>
      </c>
      <c r="AE107" s="290">
        <f t="shared" si="37"/>
        <v>438479.99999999994</v>
      </c>
      <c r="AF107" s="290">
        <f t="shared" si="38"/>
        <v>438479.99999999994</v>
      </c>
      <c r="AG107" s="293">
        <f t="shared" si="39"/>
        <v>42526.100417576403</v>
      </c>
      <c r="AH107" s="198"/>
    </row>
    <row r="108" spans="2:34" ht="15.75" x14ac:dyDescent="0.25">
      <c r="B108" s="132" t="s">
        <v>141</v>
      </c>
      <c r="C108" s="132"/>
      <c r="D108" s="464"/>
      <c r="E108" s="134">
        <f>IF(B108="","",IF($H$14&gt;3.65,50,IF($H$14&gt;=3,37.5, IF($H$14&gt;=2.25,25,IF($H$14&gt;=1.5,12.5,0.05)))))</f>
        <v>37.5</v>
      </c>
      <c r="F108" s="111">
        <f t="shared" si="18"/>
        <v>36900</v>
      </c>
      <c r="G108" s="106">
        <f t="shared" si="19"/>
        <v>12</v>
      </c>
      <c r="H108" s="112">
        <f t="shared" si="40"/>
        <v>0</v>
      </c>
      <c r="I108" s="113">
        <f>+IF(F108="","",IF(H108&gt;0,ROUND(F108*H108,-2),ROUND(F108*G108,-2)))</f>
        <v>442800</v>
      </c>
      <c r="J108" s="114">
        <f t="shared" si="21"/>
        <v>13.4</v>
      </c>
      <c r="K108" s="107">
        <f t="shared" si="22"/>
        <v>9294.4</v>
      </c>
      <c r="L108" s="115">
        <f>+IF(I108="","",ROUND((I108/($C$12*($C$13+$C$14)/2)/3600),2))</f>
        <v>3.53</v>
      </c>
      <c r="M108" s="116">
        <f t="shared" si="24"/>
        <v>9.7160871904000015</v>
      </c>
      <c r="N108" s="76"/>
      <c r="O108" s="76"/>
      <c r="P108" s="76"/>
      <c r="Q108" s="76"/>
      <c r="R108" s="108">
        <f t="shared" si="25"/>
        <v>71.391076115485561</v>
      </c>
      <c r="S108" s="117">
        <f t="shared" si="26"/>
        <v>1478.952</v>
      </c>
      <c r="T108" s="118">
        <f t="shared" si="27"/>
        <v>2794.0679999999998</v>
      </c>
      <c r="U108" s="109">
        <f t="shared" si="28"/>
        <v>18600</v>
      </c>
      <c r="V108" s="119">
        <f t="shared" si="29"/>
        <v>46472</v>
      </c>
      <c r="W108" s="120">
        <f>IF(U108="","",+U108+V108)</f>
        <v>65072</v>
      </c>
      <c r="X108" s="121">
        <f>+IF(V108="","",V108*2)</f>
        <v>92944</v>
      </c>
      <c r="Y108" s="122">
        <f>+IF(U108="","",X108+U108)</f>
        <v>111544</v>
      </c>
      <c r="Z108" s="123">
        <f t="shared" si="33"/>
        <v>884.40000000000009</v>
      </c>
      <c r="AA108" s="142">
        <f t="shared" si="34"/>
        <v>8844</v>
      </c>
      <c r="AB108" s="292"/>
      <c r="AC108" s="290">
        <f t="shared" si="35"/>
        <v>3</v>
      </c>
      <c r="AD108" s="290">
        <f t="shared" si="36"/>
        <v>0</v>
      </c>
      <c r="AE108" s="290">
        <f t="shared" si="37"/>
        <v>438479.99999999994</v>
      </c>
      <c r="AF108" s="290">
        <f t="shared" si="38"/>
        <v>438479.99999999994</v>
      </c>
      <c r="AG108" s="293">
        <f t="shared" si="39"/>
        <v>40800</v>
      </c>
      <c r="AH108" s="198"/>
    </row>
    <row r="109" spans="2:34" ht="15.75" x14ac:dyDescent="0.25">
      <c r="B109" s="132" t="s">
        <v>142</v>
      </c>
      <c r="C109" s="132"/>
      <c r="D109" s="464"/>
      <c r="E109" s="134">
        <f>IF(B109="","",IF($H$14&gt;3.65,50,IF($H$14&gt;=3,37.5, IF($H$14&gt;=2.25,25,IF($H$14&gt;=1.5,12.5,0.05)))))</f>
        <v>37.5</v>
      </c>
      <c r="F109" s="111">
        <f t="shared" si="18"/>
        <v>30300</v>
      </c>
      <c r="G109" s="106">
        <f t="shared" si="19"/>
        <v>15</v>
      </c>
      <c r="H109" s="112">
        <f t="shared" si="40"/>
        <v>0</v>
      </c>
      <c r="I109" s="113">
        <f>+IF(F109="","",IF(H109&gt;0,ROUND(F109*H109,-2),ROUND(F109*G109,-2)))</f>
        <v>454500</v>
      </c>
      <c r="J109" s="114">
        <f t="shared" si="21"/>
        <v>17.3</v>
      </c>
      <c r="K109" s="107">
        <f t="shared" si="22"/>
        <v>11981.8</v>
      </c>
      <c r="L109" s="115">
        <f>+IF(I109="","",ROUND((I109/($C$12*($C$13+$C$14)/2)/3600),2))</f>
        <v>3.63</v>
      </c>
      <c r="M109" s="116">
        <f t="shared" si="24"/>
        <v>9.7160871904000015</v>
      </c>
      <c r="N109" s="76"/>
      <c r="O109" s="76"/>
      <c r="P109" s="76"/>
      <c r="Q109" s="76"/>
      <c r="R109" s="108">
        <f t="shared" si="25"/>
        <v>80.489938757655295</v>
      </c>
      <c r="S109" s="117">
        <f t="shared" si="26"/>
        <v>1518.03</v>
      </c>
      <c r="T109" s="118">
        <f t="shared" si="27"/>
        <v>2867.895</v>
      </c>
      <c r="U109" s="109">
        <f t="shared" si="28"/>
        <v>22500</v>
      </c>
      <c r="V109" s="119">
        <f t="shared" si="29"/>
        <v>59909</v>
      </c>
      <c r="W109" s="120">
        <f>IF(U109="","",+U109+V109)</f>
        <v>82409</v>
      </c>
      <c r="X109" s="121">
        <f>+IF(V109="","",V109*2)</f>
        <v>119818</v>
      </c>
      <c r="Y109" s="122">
        <f>+IF(U109="","",X109+U109)</f>
        <v>142318</v>
      </c>
      <c r="Z109" s="123">
        <f t="shared" si="33"/>
        <v>1141.8000000000002</v>
      </c>
      <c r="AA109" s="142">
        <f t="shared" si="34"/>
        <v>11418.000000000002</v>
      </c>
      <c r="AB109" s="292"/>
      <c r="AC109" s="290">
        <f t="shared" si="35"/>
        <v>0</v>
      </c>
      <c r="AD109" s="290">
        <f t="shared" si="36"/>
        <v>0</v>
      </c>
      <c r="AE109" s="290">
        <f t="shared" si="37"/>
        <v>438479.99999999994</v>
      </c>
      <c r="AF109" s="290">
        <f t="shared" si="38"/>
        <v>438479.99999999994</v>
      </c>
      <c r="AG109" s="293">
        <f t="shared" si="39"/>
        <v>36800</v>
      </c>
      <c r="AH109" s="198"/>
    </row>
    <row r="110" spans="2:34" ht="15.75" x14ac:dyDescent="0.25">
      <c r="B110" s="132" t="s">
        <v>143</v>
      </c>
      <c r="C110" s="132"/>
      <c r="D110" s="464"/>
      <c r="E110" s="134">
        <f>IF(B110="","",IF($H$14&gt;3.65,50,IF($H$14&gt;=3,37.5, IF($H$14&gt;=2.25,25,IF($H$14&gt;=1.5,12.5,0.05)))))</f>
        <v>37.5</v>
      </c>
      <c r="F110" s="111">
        <f t="shared" si="18"/>
        <v>37900</v>
      </c>
      <c r="G110" s="106">
        <f t="shared" si="19"/>
        <v>12</v>
      </c>
      <c r="H110" s="112">
        <f t="shared" si="40"/>
        <v>0</v>
      </c>
      <c r="I110" s="113">
        <f>+IF(F110="","",IF(H110&gt;0,ROUND(F110*H110,-2),ROUND(F110*G110,-2)))</f>
        <v>454800</v>
      </c>
      <c r="J110" s="114">
        <f t="shared" si="21"/>
        <v>16.5</v>
      </c>
      <c r="K110" s="107">
        <f t="shared" si="22"/>
        <v>11459</v>
      </c>
      <c r="L110" s="115">
        <f>+IF(I110="","",ROUND((I110/($C$12*($C$13+$C$14)/2)/3600),2))</f>
        <v>3.63</v>
      </c>
      <c r="M110" s="116">
        <f t="shared" si="24"/>
        <v>9.7160871904000015</v>
      </c>
      <c r="N110" s="76"/>
      <c r="O110" s="76"/>
      <c r="P110" s="76"/>
      <c r="Q110" s="76"/>
      <c r="R110" s="108">
        <f t="shared" si="25"/>
        <v>72.615923009623799</v>
      </c>
      <c r="S110" s="117">
        <f t="shared" si="26"/>
        <v>1519.0320000000002</v>
      </c>
      <c r="T110" s="118">
        <f t="shared" si="27"/>
        <v>2869.788</v>
      </c>
      <c r="U110" s="109">
        <f t="shared" si="28"/>
        <v>18000</v>
      </c>
      <c r="V110" s="119">
        <f t="shared" si="29"/>
        <v>57295</v>
      </c>
      <c r="W110" s="120">
        <f>IF(U110="","",+U110+V110)</f>
        <v>75295</v>
      </c>
      <c r="X110" s="121">
        <f>+IF(V110="","",V110*2)</f>
        <v>114590</v>
      </c>
      <c r="Y110" s="122">
        <f>+IF(U110="","",X110+U110)</f>
        <v>132590</v>
      </c>
      <c r="Z110" s="123">
        <f t="shared" si="33"/>
        <v>1089</v>
      </c>
      <c r="AA110" s="142">
        <f t="shared" si="34"/>
        <v>10890</v>
      </c>
      <c r="AB110" s="292"/>
      <c r="AC110" s="290">
        <f t="shared" si="35"/>
        <v>0</v>
      </c>
      <c r="AD110" s="290">
        <f t="shared" si="36"/>
        <v>0</v>
      </c>
      <c r="AE110" s="290">
        <f t="shared" si="37"/>
        <v>438479.99999999994</v>
      </c>
      <c r="AF110" s="290">
        <f t="shared" si="38"/>
        <v>438479.99999999994</v>
      </c>
      <c r="AG110" s="293">
        <f t="shared" si="39"/>
        <v>41500</v>
      </c>
      <c r="AH110" s="198"/>
    </row>
    <row r="111" spans="2:34" ht="15.75" x14ac:dyDescent="0.25">
      <c r="B111" s="132" t="str">
        <f t="shared" ref="B111:B124" si="41">IF(B70="","",B70)</f>
        <v>American Coolair MNBF60M (60Hz) 1.5 hp</v>
      </c>
      <c r="C111" s="133"/>
      <c r="D111" s="135"/>
      <c r="E111" s="134">
        <f t="shared" si="17"/>
        <v>37.5</v>
      </c>
      <c r="F111" s="111">
        <f t="shared" si="18"/>
        <v>41310</v>
      </c>
      <c r="G111" s="106">
        <f t="shared" si="19"/>
        <v>11</v>
      </c>
      <c r="H111" s="112">
        <f t="shared" si="40"/>
        <v>0</v>
      </c>
      <c r="I111" s="113">
        <f t="shared" si="20"/>
        <v>454400</v>
      </c>
      <c r="J111" s="114">
        <f t="shared" si="21"/>
        <v>16.2</v>
      </c>
      <c r="K111" s="107">
        <f t="shared" si="22"/>
        <v>11249.2</v>
      </c>
      <c r="L111" s="115">
        <f t="shared" si="23"/>
        <v>3.63</v>
      </c>
      <c r="M111" s="116">
        <f t="shared" si="24"/>
        <v>9.7160871904000015</v>
      </c>
      <c r="N111" s="76"/>
      <c r="O111" s="76"/>
      <c r="P111" s="76"/>
      <c r="Q111" s="76"/>
      <c r="R111" s="108">
        <f t="shared" si="25"/>
        <v>73.89472149314669</v>
      </c>
      <c r="S111" s="117">
        <f t="shared" si="26"/>
        <v>1517.6960000000001</v>
      </c>
      <c r="T111" s="118">
        <f t="shared" si="27"/>
        <v>2867.2639999999997</v>
      </c>
      <c r="U111" s="109">
        <f t="shared" si="28"/>
        <v>24079</v>
      </c>
      <c r="V111" s="119">
        <f t="shared" si="29"/>
        <v>56246</v>
      </c>
      <c r="W111" s="120">
        <f t="shared" si="30"/>
        <v>80325</v>
      </c>
      <c r="X111" s="121">
        <f t="shared" si="31"/>
        <v>112492</v>
      </c>
      <c r="Y111" s="122">
        <f t="shared" si="32"/>
        <v>136571</v>
      </c>
      <c r="Z111" s="123">
        <f t="shared" si="33"/>
        <v>1069.1999999999998</v>
      </c>
      <c r="AA111" s="142">
        <f t="shared" si="34"/>
        <v>10691.999999999998</v>
      </c>
      <c r="AB111" s="292"/>
      <c r="AC111" s="290">
        <f t="shared" si="35"/>
        <v>0</v>
      </c>
      <c r="AD111" s="290">
        <f t="shared" si="36"/>
        <v>0</v>
      </c>
      <c r="AE111" s="290">
        <f t="shared" si="37"/>
        <v>438479.99999999994</v>
      </c>
      <c r="AF111" s="290">
        <f t="shared" si="38"/>
        <v>438479.99999999994</v>
      </c>
      <c r="AG111" s="293">
        <f t="shared" si="39"/>
        <v>46070</v>
      </c>
      <c r="AH111" s="198"/>
    </row>
    <row r="112" spans="2:34" ht="15.75" x14ac:dyDescent="0.25">
      <c r="B112" s="132" t="str">
        <f t="shared" si="41"/>
        <v>American Coolair MNBFC60M (60Hz) CONE 1.5 hp</v>
      </c>
      <c r="C112" s="133"/>
      <c r="D112" s="135"/>
      <c r="E112" s="134">
        <f t="shared" si="17"/>
        <v>37.5</v>
      </c>
      <c r="F112" s="111">
        <f t="shared" si="18"/>
        <v>44880</v>
      </c>
      <c r="G112" s="106">
        <f t="shared" si="19"/>
        <v>10</v>
      </c>
      <c r="H112" s="112">
        <f t="shared" si="40"/>
        <v>0</v>
      </c>
      <c r="I112" s="113">
        <f t="shared" si="20"/>
        <v>448800</v>
      </c>
      <c r="J112" s="114">
        <f t="shared" si="21"/>
        <v>14.9</v>
      </c>
      <c r="K112" s="107">
        <f t="shared" si="22"/>
        <v>10313.4</v>
      </c>
      <c r="L112" s="115">
        <f t="shared" si="23"/>
        <v>3.58</v>
      </c>
      <c r="M112" s="116">
        <f t="shared" si="24"/>
        <v>9.7160871904000015</v>
      </c>
      <c r="N112" s="76"/>
      <c r="O112" s="76"/>
      <c r="P112" s="76"/>
      <c r="Q112" s="76"/>
      <c r="R112" s="108">
        <f t="shared" si="25"/>
        <v>73.374161563137946</v>
      </c>
      <c r="S112" s="117">
        <f t="shared" si="26"/>
        <v>1498.992</v>
      </c>
      <c r="T112" s="118">
        <f t="shared" si="27"/>
        <v>2831.9279999999999</v>
      </c>
      <c r="U112" s="109">
        <f t="shared" si="28"/>
        <v>24450</v>
      </c>
      <c r="V112" s="119">
        <f t="shared" si="29"/>
        <v>51567</v>
      </c>
      <c r="W112" s="120">
        <f t="shared" si="30"/>
        <v>76017</v>
      </c>
      <c r="X112" s="121">
        <f t="shared" si="31"/>
        <v>103134</v>
      </c>
      <c r="Y112" s="122">
        <f t="shared" si="32"/>
        <v>127584</v>
      </c>
      <c r="Z112" s="123">
        <f t="shared" si="33"/>
        <v>983.40000000000009</v>
      </c>
      <c r="AA112" s="142">
        <f t="shared" si="34"/>
        <v>9834</v>
      </c>
      <c r="AB112" s="292"/>
      <c r="AC112" s="290">
        <f t="shared" si="35"/>
        <v>1</v>
      </c>
      <c r="AD112" s="290">
        <f t="shared" si="36"/>
        <v>0</v>
      </c>
      <c r="AE112" s="290">
        <f t="shared" si="37"/>
        <v>438479.99999999994</v>
      </c>
      <c r="AF112" s="290">
        <f t="shared" si="38"/>
        <v>438479.99999999994</v>
      </c>
      <c r="AG112" s="293">
        <f t="shared" si="39"/>
        <v>50320</v>
      </c>
      <c r="AH112" s="198"/>
    </row>
    <row r="113" spans="2:34" ht="15.75" x14ac:dyDescent="0.25">
      <c r="B113" s="132" t="str">
        <f t="shared" si="41"/>
        <v>American Coolair MNBFA54L (60Hz) 1hp</v>
      </c>
      <c r="C113" s="133"/>
      <c r="D113" s="135"/>
      <c r="E113" s="134">
        <f t="shared" si="17"/>
        <v>37.5</v>
      </c>
      <c r="F113" s="111">
        <f t="shared" si="18"/>
        <v>34690.199999999997</v>
      </c>
      <c r="G113" s="106">
        <f t="shared" si="19"/>
        <v>13</v>
      </c>
      <c r="H113" s="112">
        <f t="shared" si="40"/>
        <v>0</v>
      </c>
      <c r="I113" s="113">
        <f t="shared" si="20"/>
        <v>451000</v>
      </c>
      <c r="J113" s="114">
        <f t="shared" si="21"/>
        <v>15</v>
      </c>
      <c r="K113" s="107">
        <f t="shared" si="22"/>
        <v>10390</v>
      </c>
      <c r="L113" s="115">
        <f t="shared" si="23"/>
        <v>3.6</v>
      </c>
      <c r="M113" s="116">
        <f t="shared" si="24"/>
        <v>9.7160871904000015</v>
      </c>
      <c r="N113" s="76"/>
      <c r="O113" s="76"/>
      <c r="P113" s="76"/>
      <c r="Q113" s="76"/>
      <c r="R113" s="108">
        <f t="shared" si="25"/>
        <v>71.378681831437731</v>
      </c>
      <c r="S113" s="117">
        <f t="shared" si="26"/>
        <v>1506.3400000000001</v>
      </c>
      <c r="T113" s="118">
        <f t="shared" si="27"/>
        <v>2845.81</v>
      </c>
      <c r="U113" s="109">
        <f t="shared" si="28"/>
        <v>22854</v>
      </c>
      <c r="V113" s="119">
        <f t="shared" si="29"/>
        <v>51950</v>
      </c>
      <c r="W113" s="120">
        <f t="shared" si="30"/>
        <v>74804</v>
      </c>
      <c r="X113" s="121">
        <f t="shared" si="31"/>
        <v>103900</v>
      </c>
      <c r="Y113" s="122">
        <f t="shared" si="32"/>
        <v>126754</v>
      </c>
      <c r="Z113" s="123">
        <f t="shared" si="33"/>
        <v>990</v>
      </c>
      <c r="AA113" s="142">
        <f t="shared" si="34"/>
        <v>9900</v>
      </c>
      <c r="AB113" s="292"/>
      <c r="AC113" s="290">
        <f t="shared" si="35"/>
        <v>1</v>
      </c>
      <c r="AD113" s="290">
        <f t="shared" si="36"/>
        <v>0</v>
      </c>
      <c r="AE113" s="290">
        <f t="shared" si="37"/>
        <v>438479.99999999994</v>
      </c>
      <c r="AF113" s="290">
        <f t="shared" si="38"/>
        <v>438479.99999999994</v>
      </c>
      <c r="AG113" s="293">
        <f t="shared" si="39"/>
        <v>37655</v>
      </c>
      <c r="AH113" s="198"/>
    </row>
    <row r="114" spans="2:34" ht="15.75" x14ac:dyDescent="0.25">
      <c r="B114" s="132" t="str">
        <f t="shared" si="41"/>
        <v>American Coolair MNBFA54M (60Hz) 1.5hp)</v>
      </c>
      <c r="C114" s="133"/>
      <c r="D114" s="135"/>
      <c r="E114" s="134">
        <f t="shared" si="17"/>
        <v>37.5</v>
      </c>
      <c r="F114" s="111">
        <f t="shared" si="18"/>
        <v>40294</v>
      </c>
      <c r="G114" s="106">
        <f t="shared" si="19"/>
        <v>11</v>
      </c>
      <c r="H114" s="112">
        <f t="shared" si="40"/>
        <v>0</v>
      </c>
      <c r="I114" s="113">
        <f t="shared" si="20"/>
        <v>443200</v>
      </c>
      <c r="J114" s="114">
        <f t="shared" si="21"/>
        <v>17.8</v>
      </c>
      <c r="K114" s="107">
        <f t="shared" si="22"/>
        <v>12354.8</v>
      </c>
      <c r="L114" s="115">
        <f t="shared" si="23"/>
        <v>3.54</v>
      </c>
      <c r="M114" s="116">
        <f t="shared" si="24"/>
        <v>9.7160871904000015</v>
      </c>
      <c r="N114" s="76"/>
      <c r="O114" s="76"/>
      <c r="P114" s="76"/>
      <c r="Q114" s="76"/>
      <c r="R114" s="108">
        <f t="shared" si="25"/>
        <v>68.521434820647414</v>
      </c>
      <c r="S114" s="117">
        <f t="shared" si="26"/>
        <v>1480.288</v>
      </c>
      <c r="T114" s="118">
        <f t="shared" si="27"/>
        <v>2796.5919999999996</v>
      </c>
      <c r="U114" s="109">
        <f t="shared" si="28"/>
        <v>20130</v>
      </c>
      <c r="V114" s="119">
        <f t="shared" si="29"/>
        <v>61774</v>
      </c>
      <c r="W114" s="120">
        <f t="shared" si="30"/>
        <v>81904</v>
      </c>
      <c r="X114" s="121">
        <f t="shared" si="31"/>
        <v>123548</v>
      </c>
      <c r="Y114" s="122">
        <f t="shared" si="32"/>
        <v>143678</v>
      </c>
      <c r="Z114" s="123">
        <f t="shared" si="33"/>
        <v>1174.8000000000002</v>
      </c>
      <c r="AA114" s="142">
        <f t="shared" si="34"/>
        <v>11748.000000000002</v>
      </c>
      <c r="AB114" s="292"/>
      <c r="AC114" s="290">
        <f t="shared" si="35"/>
        <v>0</v>
      </c>
      <c r="AD114" s="290">
        <f t="shared" si="36"/>
        <v>0</v>
      </c>
      <c r="AE114" s="290">
        <f t="shared" si="37"/>
        <v>438479.99999999994</v>
      </c>
      <c r="AF114" s="290">
        <f t="shared" si="38"/>
        <v>438479.99999999994</v>
      </c>
      <c r="AG114" s="293">
        <f t="shared" si="39"/>
        <v>42720</v>
      </c>
      <c r="AH114" s="198"/>
    </row>
    <row r="115" spans="2:34" ht="15.75" x14ac:dyDescent="0.25">
      <c r="B115" s="132" t="str">
        <f t="shared" si="41"/>
        <v>American Coolair MNBFA54N (60Hz) 2hp</v>
      </c>
      <c r="C115" s="133"/>
      <c r="D115" s="135"/>
      <c r="E115" s="134">
        <f t="shared" si="17"/>
        <v>37.5</v>
      </c>
      <c r="F115" s="111">
        <f t="shared" si="18"/>
        <v>44529</v>
      </c>
      <c r="G115" s="106">
        <f t="shared" si="19"/>
        <v>10</v>
      </c>
      <c r="H115" s="112">
        <f t="shared" si="40"/>
        <v>0</v>
      </c>
      <c r="I115" s="113">
        <f t="shared" si="20"/>
        <v>445300</v>
      </c>
      <c r="J115" s="114">
        <f t="shared" si="21"/>
        <v>23.2</v>
      </c>
      <c r="K115" s="107">
        <f t="shared" si="22"/>
        <v>16091.2</v>
      </c>
      <c r="L115" s="115">
        <f t="shared" si="23"/>
        <v>3.55</v>
      </c>
      <c r="M115" s="116">
        <f t="shared" si="24"/>
        <v>9.7160871904000015</v>
      </c>
      <c r="N115" s="76"/>
      <c r="O115" s="76"/>
      <c r="P115" s="76"/>
      <c r="Q115" s="76"/>
      <c r="R115" s="108">
        <f t="shared" si="25"/>
        <v>68.111694371536885</v>
      </c>
      <c r="S115" s="117">
        <f t="shared" si="26"/>
        <v>1487.3020000000001</v>
      </c>
      <c r="T115" s="118">
        <f t="shared" si="27"/>
        <v>2809.8429999999998</v>
      </c>
      <c r="U115" s="109">
        <f t="shared" si="28"/>
        <v>18920</v>
      </c>
      <c r="V115" s="119">
        <f t="shared" si="29"/>
        <v>80456</v>
      </c>
      <c r="W115" s="120">
        <f t="shared" si="30"/>
        <v>99376</v>
      </c>
      <c r="X115" s="121">
        <f t="shared" si="31"/>
        <v>160912</v>
      </c>
      <c r="Y115" s="122">
        <f t="shared" si="32"/>
        <v>179832</v>
      </c>
      <c r="Z115" s="123">
        <f t="shared" si="33"/>
        <v>1531.1999999999998</v>
      </c>
      <c r="AA115" s="142">
        <f t="shared" si="34"/>
        <v>15311.999999999998</v>
      </c>
      <c r="AB115" s="292"/>
      <c r="AC115" s="290">
        <f t="shared" si="35"/>
        <v>0</v>
      </c>
      <c r="AD115" s="290">
        <f t="shared" si="36"/>
        <v>0</v>
      </c>
      <c r="AE115" s="290">
        <f t="shared" si="37"/>
        <v>438479.99999999994</v>
      </c>
      <c r="AF115" s="290">
        <f t="shared" si="38"/>
        <v>438479.99999999994</v>
      </c>
      <c r="AG115" s="293">
        <f t="shared" si="39"/>
        <v>46711</v>
      </c>
      <c r="AH115" s="198"/>
    </row>
    <row r="116" spans="2:34" ht="15.75" x14ac:dyDescent="0.25">
      <c r="B116" s="132" t="str">
        <f t="shared" si="41"/>
        <v>American Coolair MNBFA48L (60Hz) 1hp with CONE</v>
      </c>
      <c r="C116" s="133"/>
      <c r="D116" s="135"/>
      <c r="E116" s="134">
        <f t="shared" si="17"/>
        <v>37.5</v>
      </c>
      <c r="F116" s="111">
        <f t="shared" si="18"/>
        <v>26651</v>
      </c>
      <c r="G116" s="106">
        <f t="shared" si="19"/>
        <v>17</v>
      </c>
      <c r="H116" s="112">
        <f t="shared" si="40"/>
        <v>0</v>
      </c>
      <c r="I116" s="113">
        <f t="shared" si="20"/>
        <v>453100</v>
      </c>
      <c r="J116" s="114">
        <f t="shared" si="21"/>
        <v>15.8</v>
      </c>
      <c r="K116" s="107">
        <f t="shared" si="22"/>
        <v>10932.8</v>
      </c>
      <c r="L116" s="115">
        <f t="shared" si="23"/>
        <v>3.62</v>
      </c>
      <c r="M116" s="116">
        <f t="shared" si="24"/>
        <v>9.7160871904000015</v>
      </c>
      <c r="N116" s="76"/>
      <c r="O116" s="76"/>
      <c r="P116" s="76"/>
      <c r="Q116" s="76"/>
      <c r="R116" s="108">
        <f t="shared" si="25"/>
        <v>72.018226888305634</v>
      </c>
      <c r="S116" s="117">
        <f t="shared" si="26"/>
        <v>1513.354</v>
      </c>
      <c r="T116" s="118">
        <f t="shared" si="27"/>
        <v>2859.0609999999997</v>
      </c>
      <c r="U116" s="109">
        <f t="shared" si="28"/>
        <v>24786</v>
      </c>
      <c r="V116" s="119">
        <f t="shared" si="29"/>
        <v>54664</v>
      </c>
      <c r="W116" s="120">
        <f t="shared" si="30"/>
        <v>79450</v>
      </c>
      <c r="X116" s="121">
        <f t="shared" si="31"/>
        <v>109328</v>
      </c>
      <c r="Y116" s="122">
        <f t="shared" si="32"/>
        <v>134114</v>
      </c>
      <c r="Z116" s="123">
        <f t="shared" si="33"/>
        <v>1042.8000000000002</v>
      </c>
      <c r="AA116" s="142">
        <f t="shared" si="34"/>
        <v>10428.000000000002</v>
      </c>
      <c r="AB116" s="292"/>
      <c r="AC116" s="290">
        <f t="shared" si="35"/>
        <v>0</v>
      </c>
      <c r="AD116" s="290">
        <f t="shared" si="36"/>
        <v>0</v>
      </c>
      <c r="AE116" s="290">
        <f t="shared" si="37"/>
        <v>438479.99999999994</v>
      </c>
      <c r="AF116" s="290">
        <f t="shared" si="38"/>
        <v>438479.99999999994</v>
      </c>
      <c r="AG116" s="293">
        <f t="shared" si="39"/>
        <v>29053</v>
      </c>
      <c r="AH116" s="198"/>
    </row>
    <row r="117" spans="2:34" ht="15.75" x14ac:dyDescent="0.25">
      <c r="B117" s="132" t="str">
        <f t="shared" si="41"/>
        <v>American Coolair MNCFC52L (60Hz) CONE 1hp</v>
      </c>
      <c r="C117" s="133"/>
      <c r="D117" s="135"/>
      <c r="E117" s="134">
        <f t="shared" si="17"/>
        <v>37.5</v>
      </c>
      <c r="F117" s="111">
        <f t="shared" si="18"/>
        <v>33150</v>
      </c>
      <c r="G117" s="106">
        <f t="shared" si="19"/>
        <v>14</v>
      </c>
      <c r="H117" s="112">
        <f t="shared" si="40"/>
        <v>0</v>
      </c>
      <c r="I117" s="113">
        <f t="shared" si="20"/>
        <v>464100</v>
      </c>
      <c r="J117" s="114">
        <f t="shared" si="21"/>
        <v>17.3</v>
      </c>
      <c r="K117" s="107">
        <f t="shared" si="22"/>
        <v>11971.8</v>
      </c>
      <c r="L117" s="115">
        <f t="shared" si="23"/>
        <v>3.7</v>
      </c>
      <c r="M117" s="116">
        <f t="shared" si="24"/>
        <v>9.7160871904000015</v>
      </c>
      <c r="N117" s="76"/>
      <c r="O117" s="76"/>
      <c r="P117" s="76"/>
      <c r="Q117" s="76"/>
      <c r="R117" s="108">
        <f t="shared" si="25"/>
        <v>76.695829687955666</v>
      </c>
      <c r="S117" s="117">
        <f t="shared" si="26"/>
        <v>1550.0940000000001</v>
      </c>
      <c r="T117" s="118">
        <f t="shared" si="27"/>
        <v>2928.471</v>
      </c>
      <c r="U117" s="109">
        <f t="shared" si="28"/>
        <v>23912</v>
      </c>
      <c r="V117" s="119">
        <f t="shared" si="29"/>
        <v>59859</v>
      </c>
      <c r="W117" s="120">
        <f t="shared" si="30"/>
        <v>83771</v>
      </c>
      <c r="X117" s="121">
        <f t="shared" si="31"/>
        <v>119718</v>
      </c>
      <c r="Y117" s="122">
        <f t="shared" si="32"/>
        <v>143630</v>
      </c>
      <c r="Z117" s="123">
        <f t="shared" si="33"/>
        <v>1141.8000000000002</v>
      </c>
      <c r="AA117" s="142">
        <f t="shared" si="34"/>
        <v>11418.000000000002</v>
      </c>
      <c r="AB117" s="292"/>
      <c r="AC117" s="290">
        <f t="shared" si="35"/>
        <v>0</v>
      </c>
      <c r="AD117" s="290">
        <f t="shared" si="36"/>
        <v>0</v>
      </c>
      <c r="AE117" s="290">
        <f t="shared" si="37"/>
        <v>438479.99999999994</v>
      </c>
      <c r="AF117" s="290">
        <f t="shared" si="38"/>
        <v>438479.99999999994</v>
      </c>
      <c r="AG117" s="293">
        <f t="shared" si="39"/>
        <v>37570</v>
      </c>
      <c r="AH117" s="198"/>
    </row>
    <row r="118" spans="2:34" ht="15.75" customHeight="1" x14ac:dyDescent="0.25">
      <c r="B118" s="132" t="str">
        <f t="shared" si="41"/>
        <v>American Coolair MNBCCE54L (60 Hz) CONE 1hp</v>
      </c>
      <c r="C118" s="133"/>
      <c r="D118" s="135"/>
      <c r="E118" s="134">
        <f t="shared" si="17"/>
        <v>37.5</v>
      </c>
      <c r="F118" s="111">
        <f t="shared" si="18"/>
        <v>36019</v>
      </c>
      <c r="G118" s="106">
        <f t="shared" si="19"/>
        <v>13</v>
      </c>
      <c r="H118" s="112">
        <f t="shared" si="40"/>
        <v>0</v>
      </c>
      <c r="I118" s="113">
        <f t="shared" si="20"/>
        <v>468200</v>
      </c>
      <c r="J118" s="114">
        <f t="shared" si="21"/>
        <v>11.3</v>
      </c>
      <c r="K118" s="107">
        <f t="shared" si="22"/>
        <v>7845.8</v>
      </c>
      <c r="L118" s="115">
        <f t="shared" si="23"/>
        <v>3.74</v>
      </c>
      <c r="M118" s="116">
        <f t="shared" si="24"/>
        <v>9.7160871904000015</v>
      </c>
      <c r="N118" s="76"/>
      <c r="O118" s="76"/>
      <c r="P118" s="76"/>
      <c r="Q118" s="76"/>
      <c r="R118" s="108">
        <f t="shared" si="25"/>
        <v>76.328083989501309</v>
      </c>
      <c r="S118" s="117">
        <f t="shared" si="26"/>
        <v>1563.788</v>
      </c>
      <c r="T118" s="118">
        <f t="shared" si="27"/>
        <v>2954.3419999999996</v>
      </c>
      <c r="U118" s="109">
        <f t="shared" si="28"/>
        <v>24544</v>
      </c>
      <c r="V118" s="119">
        <f t="shared" si="29"/>
        <v>39229</v>
      </c>
      <c r="W118" s="120">
        <f t="shared" si="30"/>
        <v>63773</v>
      </c>
      <c r="X118" s="121">
        <f t="shared" si="31"/>
        <v>78458</v>
      </c>
      <c r="Y118" s="122">
        <f t="shared" si="32"/>
        <v>103002</v>
      </c>
      <c r="Z118" s="123">
        <f t="shared" si="33"/>
        <v>745.80000000000018</v>
      </c>
      <c r="AA118" s="142">
        <f t="shared" si="34"/>
        <v>7458.0000000000018</v>
      </c>
      <c r="AB118" s="292"/>
      <c r="AC118" s="290">
        <f t="shared" si="35"/>
        <v>4</v>
      </c>
      <c r="AD118" s="290">
        <f t="shared" si="36"/>
        <v>0</v>
      </c>
      <c r="AE118" s="290">
        <f t="shared" si="37"/>
        <v>438479.99999999994</v>
      </c>
      <c r="AF118" s="290">
        <f t="shared" si="38"/>
        <v>438479.99999999994</v>
      </c>
      <c r="AG118" s="293">
        <f t="shared" si="39"/>
        <v>40266</v>
      </c>
      <c r="AH118" s="198"/>
    </row>
    <row r="119" spans="2:34" ht="15.75" x14ac:dyDescent="0.25">
      <c r="B119" s="132" t="str">
        <f t="shared" si="41"/>
        <v>American Coolair MNCFE52L (60Hz) 1hp</v>
      </c>
      <c r="C119" s="133"/>
      <c r="D119" s="135"/>
      <c r="E119" s="134">
        <f t="shared" si="17"/>
        <v>37.5</v>
      </c>
      <c r="F119" s="111">
        <f t="shared" si="18"/>
        <v>28050</v>
      </c>
      <c r="G119" s="106">
        <f t="shared" si="19"/>
        <v>16</v>
      </c>
      <c r="H119" s="112">
        <f t="shared" si="40"/>
        <v>0</v>
      </c>
      <c r="I119" s="113">
        <f t="shared" si="20"/>
        <v>448800</v>
      </c>
      <c r="J119" s="114">
        <f t="shared" si="21"/>
        <v>15.4</v>
      </c>
      <c r="K119" s="107">
        <f t="shared" si="22"/>
        <v>10686.4</v>
      </c>
      <c r="L119" s="115">
        <f t="shared" si="23"/>
        <v>3.58</v>
      </c>
      <c r="M119" s="116">
        <f t="shared" si="24"/>
        <v>9.7160871904000015</v>
      </c>
      <c r="N119" s="76"/>
      <c r="O119" s="76"/>
      <c r="P119" s="76"/>
      <c r="Q119" s="76"/>
      <c r="R119" s="108">
        <f t="shared" si="25"/>
        <v>75.357247010790317</v>
      </c>
      <c r="S119" s="117">
        <f t="shared" si="26"/>
        <v>1498.992</v>
      </c>
      <c r="T119" s="118">
        <f t="shared" si="27"/>
        <v>2831.9279999999999</v>
      </c>
      <c r="U119" s="109">
        <f t="shared" si="28"/>
        <v>23520</v>
      </c>
      <c r="V119" s="119">
        <f t="shared" si="29"/>
        <v>53432</v>
      </c>
      <c r="W119" s="120">
        <f t="shared" si="30"/>
        <v>76952</v>
      </c>
      <c r="X119" s="121">
        <f t="shared" si="31"/>
        <v>106864</v>
      </c>
      <c r="Y119" s="122">
        <f t="shared" si="32"/>
        <v>130384</v>
      </c>
      <c r="Z119" s="123">
        <f t="shared" si="33"/>
        <v>1016.4000000000001</v>
      </c>
      <c r="AA119" s="142">
        <f t="shared" si="34"/>
        <v>10164</v>
      </c>
      <c r="AB119" s="292"/>
      <c r="AC119" s="290">
        <f t="shared" si="35"/>
        <v>1</v>
      </c>
      <c r="AD119" s="290">
        <f t="shared" si="36"/>
        <v>0</v>
      </c>
      <c r="AE119" s="290">
        <f t="shared" si="37"/>
        <v>438479.99999999994</v>
      </c>
      <c r="AF119" s="290">
        <f t="shared" si="38"/>
        <v>438479.99999999994</v>
      </c>
      <c r="AG119" s="293">
        <f t="shared" si="39"/>
        <v>32300</v>
      </c>
      <c r="AH119" s="198"/>
    </row>
    <row r="120" spans="2:34" ht="15.75" x14ac:dyDescent="0.25">
      <c r="B120" s="132" t="str">
        <f t="shared" si="41"/>
        <v>Chore-Time 52157-51 (54", 1.5hp, 3 blade) CONE</v>
      </c>
      <c r="C120" s="133"/>
      <c r="D120" s="135"/>
      <c r="E120" s="134">
        <f>IF(B120="","",IF($H$14&gt;3.65,50,IF($H$14&gt;=3,37.5, IF($H$14&gt;=2.25,25,IF($H$14&gt;=1.5,12.5,0.05)))))</f>
        <v>37.5</v>
      </c>
      <c r="F120" s="111">
        <f t="shared" si="18"/>
        <v>43834</v>
      </c>
      <c r="G120" s="106">
        <f t="shared" si="19"/>
        <v>11</v>
      </c>
      <c r="H120" s="112">
        <f t="shared" si="40"/>
        <v>0</v>
      </c>
      <c r="I120" s="113">
        <f>+IF(F120="","",IF(H120&gt;0,ROUND(F120*H120,-2),ROUND(F120*G120,-2)))</f>
        <v>482200</v>
      </c>
      <c r="J120" s="114">
        <f t="shared" si="21"/>
        <v>15.6</v>
      </c>
      <c r="K120" s="107">
        <f t="shared" si="22"/>
        <v>10799.6</v>
      </c>
      <c r="L120" s="115">
        <f>+IF(I120="","",ROUND((I120/($C$12*($C$13+$C$14)/2)/3600),2))</f>
        <v>3.85</v>
      </c>
      <c r="M120" s="116">
        <f t="shared" si="24"/>
        <v>9.7160871904000015</v>
      </c>
      <c r="N120" s="76"/>
      <c r="O120" s="76"/>
      <c r="P120" s="76"/>
      <c r="Q120" s="76"/>
      <c r="R120" s="108">
        <f t="shared" si="25"/>
        <v>76.849227179935838</v>
      </c>
      <c r="S120" s="117">
        <f t="shared" si="26"/>
        <v>1610.548</v>
      </c>
      <c r="T120" s="118">
        <f t="shared" si="27"/>
        <v>3042.6819999999998</v>
      </c>
      <c r="U120" s="109">
        <f t="shared" si="28"/>
        <v>16962</v>
      </c>
      <c r="V120" s="119">
        <f t="shared" si="29"/>
        <v>53998</v>
      </c>
      <c r="W120" s="120">
        <f>IF(U120="","",+U120+V120)</f>
        <v>70960</v>
      </c>
      <c r="X120" s="121">
        <f>+IF(V120="","",V120*2)</f>
        <v>107996</v>
      </c>
      <c r="Y120" s="122">
        <f>+IF(U120="","",X120+U120)</f>
        <v>124958</v>
      </c>
      <c r="Z120" s="123">
        <f t="shared" si="33"/>
        <v>1029.5999999999999</v>
      </c>
      <c r="AA120" s="142">
        <f t="shared" si="34"/>
        <v>10296</v>
      </c>
      <c r="AB120" s="292"/>
      <c r="AC120" s="290">
        <f t="shared" si="35"/>
        <v>1</v>
      </c>
      <c r="AD120" s="290">
        <f t="shared" si="36"/>
        <v>0</v>
      </c>
      <c r="AE120" s="290">
        <f t="shared" si="37"/>
        <v>438479.99999999994</v>
      </c>
      <c r="AF120" s="290">
        <f t="shared" si="38"/>
        <v>438479.99999999994</v>
      </c>
      <c r="AG120" s="293">
        <f t="shared" si="39"/>
        <v>47912</v>
      </c>
      <c r="AH120" s="198"/>
    </row>
    <row r="121" spans="2:34" ht="15.75" x14ac:dyDescent="0.25">
      <c r="B121" s="132" t="str">
        <f t="shared" si="41"/>
        <v>Multifan MF130 0.75kW (50.5", 1.0hp, 3 blade)</v>
      </c>
      <c r="C121" s="133"/>
      <c r="D121" s="135"/>
      <c r="E121" s="134">
        <f t="shared" si="17"/>
        <v>37.5</v>
      </c>
      <c r="F121" s="111">
        <f t="shared" si="18"/>
        <v>27200</v>
      </c>
      <c r="G121" s="106">
        <f t="shared" si="19"/>
        <v>17</v>
      </c>
      <c r="H121" s="112">
        <f t="shared" si="40"/>
        <v>0</v>
      </c>
      <c r="I121" s="113">
        <f t="shared" si="20"/>
        <v>462400</v>
      </c>
      <c r="J121" s="114">
        <f t="shared" si="21"/>
        <v>20</v>
      </c>
      <c r="K121" s="107">
        <f t="shared" si="22"/>
        <v>13850</v>
      </c>
      <c r="L121" s="115">
        <f t="shared" si="23"/>
        <v>3.69</v>
      </c>
      <c r="M121" s="116">
        <f t="shared" si="24"/>
        <v>9.7160871904000015</v>
      </c>
      <c r="N121" s="76"/>
      <c r="O121" s="76"/>
      <c r="P121" s="76"/>
      <c r="Q121" s="76"/>
      <c r="R121" s="108">
        <f t="shared" si="25"/>
        <v>79.571303587051617</v>
      </c>
      <c r="S121" s="117">
        <f t="shared" si="26"/>
        <v>1544.4159999999999</v>
      </c>
      <c r="T121" s="118">
        <f t="shared" si="27"/>
        <v>2917.7439999999997</v>
      </c>
      <c r="U121" s="109">
        <f t="shared" si="28"/>
        <v>12240</v>
      </c>
      <c r="V121" s="119">
        <f t="shared" si="29"/>
        <v>69250</v>
      </c>
      <c r="W121" s="120">
        <f t="shared" si="30"/>
        <v>81490</v>
      </c>
      <c r="X121" s="121">
        <f t="shared" si="31"/>
        <v>138500</v>
      </c>
      <c r="Y121" s="122">
        <f t="shared" si="32"/>
        <v>150740</v>
      </c>
      <c r="Z121" s="123">
        <f t="shared" si="33"/>
        <v>1320</v>
      </c>
      <c r="AA121" s="142">
        <f t="shared" si="34"/>
        <v>13200</v>
      </c>
      <c r="AB121" s="292"/>
      <c r="AC121" s="290">
        <f t="shared" si="35"/>
        <v>0</v>
      </c>
      <c r="AD121" s="290">
        <f t="shared" si="36"/>
        <v>0</v>
      </c>
      <c r="AE121" s="290">
        <f t="shared" si="37"/>
        <v>438479.99999999994</v>
      </c>
      <c r="AF121" s="290">
        <f t="shared" si="38"/>
        <v>438479.99999999994</v>
      </c>
      <c r="AG121" s="293">
        <f t="shared" si="39"/>
        <v>32100</v>
      </c>
      <c r="AH121" s="198"/>
    </row>
    <row r="122" spans="2:34" ht="15.75" x14ac:dyDescent="0.25">
      <c r="B122" s="132" t="str">
        <f t="shared" si="41"/>
        <v>Multifan MF130 1.12 kW (50.5", 1.5 hp, 3 blade)</v>
      </c>
      <c r="C122" s="133"/>
      <c r="D122" s="135"/>
      <c r="E122" s="134">
        <f t="shared" si="17"/>
        <v>37.5</v>
      </c>
      <c r="F122" s="111">
        <f t="shared" si="18"/>
        <v>34600</v>
      </c>
      <c r="G122" s="106">
        <f t="shared" si="19"/>
        <v>13</v>
      </c>
      <c r="H122" s="112">
        <f t="shared" si="40"/>
        <v>0</v>
      </c>
      <c r="I122" s="113">
        <f t="shared" si="20"/>
        <v>449800</v>
      </c>
      <c r="J122" s="114">
        <f t="shared" si="21"/>
        <v>19.3</v>
      </c>
      <c r="K122" s="107">
        <f t="shared" si="22"/>
        <v>13393.8</v>
      </c>
      <c r="L122" s="115">
        <f t="shared" si="23"/>
        <v>3.59</v>
      </c>
      <c r="M122" s="116">
        <f t="shared" si="24"/>
        <v>9.7160871904000015</v>
      </c>
      <c r="N122" s="76"/>
      <c r="O122" s="76"/>
      <c r="P122" s="76"/>
      <c r="Q122" s="76"/>
      <c r="R122" s="108">
        <f t="shared" si="25"/>
        <v>71.653543307086608</v>
      </c>
      <c r="S122" s="117">
        <f t="shared" si="26"/>
        <v>1502.3320000000001</v>
      </c>
      <c r="T122" s="118">
        <f t="shared" si="27"/>
        <v>2838.2379999999998</v>
      </c>
      <c r="U122" s="109">
        <f t="shared" si="28"/>
        <v>9360</v>
      </c>
      <c r="V122" s="119">
        <f t="shared" si="29"/>
        <v>66969</v>
      </c>
      <c r="W122" s="120">
        <f t="shared" si="30"/>
        <v>76329</v>
      </c>
      <c r="X122" s="121">
        <f t="shared" si="31"/>
        <v>133938</v>
      </c>
      <c r="Y122" s="122">
        <f t="shared" si="32"/>
        <v>143298</v>
      </c>
      <c r="Z122" s="123">
        <f t="shared" si="33"/>
        <v>1273.8000000000002</v>
      </c>
      <c r="AA122" s="142">
        <f t="shared" si="34"/>
        <v>12738.000000000002</v>
      </c>
      <c r="AB122" s="292"/>
      <c r="AC122" s="290">
        <f t="shared" si="35"/>
        <v>0</v>
      </c>
      <c r="AD122" s="290">
        <f t="shared" si="36"/>
        <v>0</v>
      </c>
      <c r="AE122" s="290">
        <f t="shared" si="37"/>
        <v>438479.99999999994</v>
      </c>
      <c r="AF122" s="290">
        <f t="shared" si="38"/>
        <v>438479.99999999994</v>
      </c>
      <c r="AG122" s="293">
        <f t="shared" si="39"/>
        <v>37800</v>
      </c>
      <c r="AH122" s="198"/>
    </row>
    <row r="123" spans="2:34" ht="15.75" x14ac:dyDescent="0.25">
      <c r="B123" s="132" t="str">
        <f t="shared" si="41"/>
        <v>Multifan MF130 0.75 kW (50.5", 1.0 hp, 3 blade) CONE</v>
      </c>
      <c r="C123" s="133"/>
      <c r="D123" s="135"/>
      <c r="E123" s="134">
        <f t="shared" si="17"/>
        <v>37.5</v>
      </c>
      <c r="F123" s="111">
        <f t="shared" si="18"/>
        <v>32400</v>
      </c>
      <c r="G123" s="106">
        <f t="shared" si="19"/>
        <v>14</v>
      </c>
      <c r="H123" s="112">
        <f t="shared" si="40"/>
        <v>0</v>
      </c>
      <c r="I123" s="113">
        <f t="shared" si="20"/>
        <v>453600</v>
      </c>
      <c r="J123" s="114">
        <f t="shared" si="21"/>
        <v>16.399999999999999</v>
      </c>
      <c r="K123" s="107">
        <f t="shared" si="22"/>
        <v>11342.4</v>
      </c>
      <c r="L123" s="115">
        <f t="shared" si="23"/>
        <v>3.62</v>
      </c>
      <c r="M123" s="116">
        <f t="shared" si="24"/>
        <v>9.7160871904000015</v>
      </c>
      <c r="N123" s="76"/>
      <c r="O123" s="76"/>
      <c r="P123" s="76"/>
      <c r="Q123" s="76"/>
      <c r="R123" s="108">
        <f t="shared" si="25"/>
        <v>73.082531350247891</v>
      </c>
      <c r="S123" s="117">
        <f t="shared" si="26"/>
        <v>1515.0240000000001</v>
      </c>
      <c r="T123" s="118">
        <f t="shared" si="27"/>
        <v>2862.2159999999999</v>
      </c>
      <c r="U123" s="109">
        <f t="shared" si="28"/>
        <v>12460</v>
      </c>
      <c r="V123" s="119">
        <f t="shared" si="29"/>
        <v>56712</v>
      </c>
      <c r="W123" s="120">
        <f t="shared" si="30"/>
        <v>69172</v>
      </c>
      <c r="X123" s="121">
        <f t="shared" si="31"/>
        <v>113424</v>
      </c>
      <c r="Y123" s="122">
        <f t="shared" si="32"/>
        <v>125884</v>
      </c>
      <c r="Z123" s="123">
        <f t="shared" si="33"/>
        <v>1082.3999999999999</v>
      </c>
      <c r="AA123" s="142">
        <f t="shared" si="34"/>
        <v>10823.999999999998</v>
      </c>
      <c r="AB123" s="292"/>
      <c r="AC123" s="290">
        <f t="shared" si="35"/>
        <v>0</v>
      </c>
      <c r="AD123" s="290">
        <f t="shared" si="36"/>
        <v>0</v>
      </c>
      <c r="AE123" s="290">
        <f t="shared" si="37"/>
        <v>438479.99999999994</v>
      </c>
      <c r="AF123" s="290">
        <f t="shared" si="38"/>
        <v>438479.99999999994</v>
      </c>
      <c r="AG123" s="293">
        <f t="shared" si="39"/>
        <v>35800</v>
      </c>
      <c r="AH123" s="198"/>
    </row>
    <row r="124" spans="2:34" ht="15.75" x14ac:dyDescent="0.25">
      <c r="B124" s="132" t="str">
        <f t="shared" si="41"/>
        <v>Multifan MF130 1.12 kW (50.5", 1.5 hp, 3 blade) CONE</v>
      </c>
      <c r="C124" s="133"/>
      <c r="D124" s="135"/>
      <c r="E124" s="134">
        <f t="shared" si="17"/>
        <v>37.5</v>
      </c>
      <c r="F124" s="111">
        <f t="shared" si="18"/>
        <v>38900</v>
      </c>
      <c r="G124" s="106">
        <f t="shared" si="19"/>
        <v>12</v>
      </c>
      <c r="H124" s="112">
        <f t="shared" si="40"/>
        <v>0</v>
      </c>
      <c r="I124" s="113">
        <f t="shared" si="20"/>
        <v>466800</v>
      </c>
      <c r="J124" s="114">
        <f t="shared" si="21"/>
        <v>17.600000000000001</v>
      </c>
      <c r="K124" s="107">
        <f t="shared" si="22"/>
        <v>12161.6</v>
      </c>
      <c r="L124" s="115">
        <f t="shared" si="23"/>
        <v>3.73</v>
      </c>
      <c r="M124" s="116">
        <f t="shared" si="24"/>
        <v>9.7160871904000015</v>
      </c>
      <c r="N124" s="76"/>
      <c r="O124" s="76"/>
      <c r="P124" s="76"/>
      <c r="Q124" s="76"/>
      <c r="R124" s="108">
        <f t="shared" si="25"/>
        <v>72.965879265091857</v>
      </c>
      <c r="S124" s="117">
        <f t="shared" si="26"/>
        <v>1559.1120000000001</v>
      </c>
      <c r="T124" s="118">
        <f t="shared" si="27"/>
        <v>2945.5079999999998</v>
      </c>
      <c r="U124" s="109">
        <f t="shared" si="28"/>
        <v>10680</v>
      </c>
      <c r="V124" s="119">
        <f t="shared" si="29"/>
        <v>60808</v>
      </c>
      <c r="W124" s="120">
        <f t="shared" si="30"/>
        <v>71488</v>
      </c>
      <c r="X124" s="121">
        <f t="shared" si="31"/>
        <v>121616</v>
      </c>
      <c r="Y124" s="122">
        <f t="shared" si="32"/>
        <v>132296</v>
      </c>
      <c r="Z124" s="123">
        <f t="shared" si="33"/>
        <v>1161.6000000000001</v>
      </c>
      <c r="AA124" s="142">
        <f t="shared" si="34"/>
        <v>11616.000000000002</v>
      </c>
      <c r="AB124" s="292"/>
      <c r="AC124" s="290">
        <f t="shared" si="35"/>
        <v>0</v>
      </c>
      <c r="AD124" s="290">
        <f t="shared" si="36"/>
        <v>0</v>
      </c>
      <c r="AE124" s="290">
        <f t="shared" si="37"/>
        <v>438479.99999999994</v>
      </c>
      <c r="AF124" s="290">
        <f t="shared" si="38"/>
        <v>438479.99999999994</v>
      </c>
      <c r="AG124" s="293">
        <f t="shared" si="39"/>
        <v>41700</v>
      </c>
      <c r="AH124" s="198"/>
    </row>
    <row r="125" spans="2:34" ht="15.75" customHeight="1" x14ac:dyDescent="0.25">
      <c r="B125" s="131" t="str">
        <f>IF(R51="","",R51)</f>
        <v>BlueFan 1.2 kw — 465 rpm</v>
      </c>
      <c r="C125" s="133"/>
      <c r="D125" s="135"/>
      <c r="E125" s="134">
        <f>IF(B125="","",IF($H$14&gt;3.65,50,IF($H$14&gt;=3,37.5, IF($H$14&gt;=2.25,25,IF($H$14&gt;=1.5,12.5,0.05)))))</f>
        <v>37.5</v>
      </c>
      <c r="F125" s="111">
        <f>IF(E125="","",IF($H$14&gt;3.65,W51,IF($H$14&gt;=3,V51, IF($H$14&gt;=2.25,U51,IF($H$14&gt;=1.5,T51,T51)))))</f>
        <v>35500</v>
      </c>
      <c r="G125" s="106">
        <f>+IF(R51="","",ROUNDUP(AF125/F125,0))</f>
        <v>13</v>
      </c>
      <c r="H125" s="112">
        <f>IF(H242="",0,H242)</f>
        <v>0</v>
      </c>
      <c r="I125" s="113">
        <f>+IF(F125="","",IF(H125&gt;0,ROUND(F125*H125,-2),ROUND(F125*G125,-2)))</f>
        <v>461500</v>
      </c>
      <c r="J125" s="114">
        <f>+IF(X51="","",IF(H125&gt;0,ROUND((H125*(($U51)/(($X51)))/1000),1),ROUND((G125*(($U51)/(($X51)))/1000),1)))</f>
        <v>10.6</v>
      </c>
      <c r="K125" s="107">
        <f>+IF(X51="","",IF(H125&gt;0,ROUND((H125*(($U51)/(($X51)))/1000*$H$13*$H$11),-1),ROUND((G125*(($U51)/(($X51)))/1000*$H$13*$H$11),-1)))+Z125</f>
        <v>7329.6</v>
      </c>
      <c r="L125" s="115">
        <f>+IF(I125="","",ROUND((I125/($C$12*($C$13+$C$14)/2)/3600),2))</f>
        <v>3.68</v>
      </c>
      <c r="M125" s="116">
        <f>IF(L125="","",IF(L125&gt;3.302,0.8676*3.302^2+0.0787*3.302-0.0034,0.8676*L125^2+0.0787*L125-0.0034))</f>
        <v>9.7160871904000015</v>
      </c>
      <c r="N125" s="76"/>
      <c r="O125" s="76"/>
      <c r="P125" s="76"/>
      <c r="Q125" s="76"/>
      <c r="R125" s="108">
        <f t="shared" si="25"/>
        <v>75.255176436278802</v>
      </c>
      <c r="S125" s="117">
        <f t="shared" si="26"/>
        <v>1541.41</v>
      </c>
      <c r="T125" s="118">
        <f t="shared" si="27"/>
        <v>2912.0650000000001</v>
      </c>
      <c r="U125" s="109">
        <f t="shared" ref="U125:U157" si="42">IF($J$52="","",IF(H125&gt;0,$J$52*H125,$J$52*G125))</f>
        <v>24635</v>
      </c>
      <c r="V125" s="119">
        <f t="shared" si="29"/>
        <v>36648</v>
      </c>
      <c r="W125" s="120">
        <f>IF(U125="","",+U125+V125)</f>
        <v>61283</v>
      </c>
      <c r="X125" s="121">
        <f>+IF(V125="","",V125*2)</f>
        <v>73296</v>
      </c>
      <c r="Y125" s="122">
        <f>+IF(U125="","",X125+U125)</f>
        <v>97931</v>
      </c>
      <c r="Z125" s="123">
        <f t="shared" si="33"/>
        <v>699.59999999999991</v>
      </c>
      <c r="AA125" s="142">
        <f t="shared" si="34"/>
        <v>6995.9999999999991</v>
      </c>
      <c r="AB125" s="292"/>
      <c r="AC125" s="290">
        <f>+IF(X51="","",IF(X51&gt;=37.38,4,IF(X51&gt;=35.68,3,IF(X51&gt;=33.98,2,IF(X51&gt;=32.28,1,0)))))</f>
        <v>4</v>
      </c>
      <c r="AD125" s="290">
        <f>+IF(OR(W51="",T51=""),"",IF(N125&gt;0.82,4,IF(N125&gt;0.77,3,IF(N125&gt;0.72,2,IF(N125&gt;=0.7,1,0)))))</f>
        <v>0</v>
      </c>
      <c r="AE125" s="290">
        <f t="shared" si="37"/>
        <v>438479.99999999994</v>
      </c>
      <c r="AF125" s="290">
        <f>+IF(AE125&gt;$AF$97,AE125,$AF$97)</f>
        <v>438479.99999999994</v>
      </c>
      <c r="AG125" s="293">
        <f>IF($H$14&gt;3.556,V51,IF($H$14&gt;=3.048,U51, IF($H$14&gt;=2.286,T51,IF($H$14&gt;=1.524,T51,T51))))</f>
        <v>39700</v>
      </c>
      <c r="AH125" s="198"/>
    </row>
    <row r="126" spans="2:34" ht="15.75" customHeight="1" x14ac:dyDescent="0.25">
      <c r="B126" s="131" t="str">
        <f>IF(R52="","",R52)</f>
        <v>BlueFan 1.2 kw — 500 rpm</v>
      </c>
      <c r="C126" s="133"/>
      <c r="D126" s="135"/>
      <c r="E126" s="134">
        <f t="shared" ref="E126:E151" si="43">IF(B126="","",IF($H$14&gt;3.65,50,IF($H$14&gt;=3,37.5, IF($H$14&gt;=2.25,25,IF($H$14&gt;=1.5,12.5,0.05)))))</f>
        <v>37.5</v>
      </c>
      <c r="F126" s="111">
        <f>IF(E126="","",IF($H$14&gt;3.65,W52,IF($H$14&gt;=3,V52, IF($H$14&gt;=2.25,U52,IF($H$14&gt;=1.5,T52,T52)))))</f>
        <v>40200</v>
      </c>
      <c r="G126" s="106">
        <f>+IF(R52="","",ROUNDUP(AF126/F126,0))</f>
        <v>11</v>
      </c>
      <c r="H126" s="112">
        <f t="shared" si="40"/>
        <v>0</v>
      </c>
      <c r="I126" s="113">
        <f t="shared" ref="I126:I150" si="44">+IF(F126="","",IF(H126&gt;0,ROUND(F126*H126,-2),ROUND(F126*G126,-2)))</f>
        <v>442200</v>
      </c>
      <c r="J126" s="114">
        <f>+IF(X52="","",IF(H126&gt;0,ROUND((H126*(($U52)/(($X52)))/1000),1),ROUND((G126*(($U52)/(($X52)))/1000),1)))</f>
        <v>10.8</v>
      </c>
      <c r="K126" s="107">
        <f>+IF(X52="","",IF(H126&gt;0,ROUND((H126*(($U52)/(($X52)))/1000*$H$13*$H$11),-1),ROUND((G126*(($U52)/(($X52)))/1000*$H$13*$H$11),-1)))+Z126</f>
        <v>7492.8</v>
      </c>
      <c r="L126" s="115">
        <f t="shared" ref="L126:L151" si="45">+IF(I126="","",ROUND((I126/($C$12*($C$13+$C$14)/2)/3600),2))</f>
        <v>3.53</v>
      </c>
      <c r="M126" s="116">
        <f t="shared" ref="M126:M151" si="46">IF(L126="","",IF(L126&gt;3.302,0.8676*3.302^2+0.0787*3.302-0.0034,0.8676*L126^2+0.0787*L126-0.0034))</f>
        <v>9.7160871904000015</v>
      </c>
      <c r="N126" s="76"/>
      <c r="O126" s="76"/>
      <c r="P126" s="76"/>
      <c r="Q126" s="76"/>
      <c r="R126" s="108">
        <f t="shared" si="25"/>
        <v>70.414114902303879</v>
      </c>
      <c r="S126" s="117">
        <f t="shared" si="26"/>
        <v>1476.9480000000001</v>
      </c>
      <c r="T126" s="118">
        <f t="shared" si="27"/>
        <v>2790.2819999999997</v>
      </c>
      <c r="U126" s="109">
        <f t="shared" si="42"/>
        <v>20845</v>
      </c>
      <c r="V126" s="119">
        <f t="shared" si="29"/>
        <v>37464</v>
      </c>
      <c r="W126" s="120">
        <f t="shared" ref="W126:W151" si="47">IF(U126="","",+U126+V126)</f>
        <v>58309</v>
      </c>
      <c r="X126" s="121">
        <f t="shared" ref="X126:X151" si="48">+IF(V126="","",V126*2)</f>
        <v>74928</v>
      </c>
      <c r="Y126" s="122">
        <f t="shared" ref="Y126:Y151" si="49">+IF(U126="","",X126+U126)</f>
        <v>95773</v>
      </c>
      <c r="Z126" s="123">
        <f t="shared" si="33"/>
        <v>712.80000000000018</v>
      </c>
      <c r="AA126" s="142">
        <f t="shared" si="34"/>
        <v>7128.0000000000018</v>
      </c>
      <c r="AB126" s="292"/>
      <c r="AC126" s="290">
        <f>+IF(X52="","",IF(X52&gt;=37.38,4,IF(X52&gt;=35.68,3,IF(X52&gt;=33.98,2,IF(X52&gt;=32.28,1,0)))))</f>
        <v>4</v>
      </c>
      <c r="AD126" s="290">
        <f>+IF(OR(W52="",T52=""),"",IF(N126&gt;0.82,4,IF(N126&gt;0.77,3,IF(N126&gt;0.72,2,IF(N126&gt;=0.7,1,0)))))</f>
        <v>0</v>
      </c>
      <c r="AE126" s="290">
        <f t="shared" si="37"/>
        <v>438479.99999999994</v>
      </c>
      <c r="AF126" s="290">
        <f t="shared" ref="AF126:AF151" si="50">+IF(AE126&gt;$AF$97,AE126,$AF$97)</f>
        <v>438479.99999999994</v>
      </c>
      <c r="AG126" s="293">
        <f>IF($H$14&gt;3.556,V52,IF($H$14&gt;=3.048,U52, IF($H$14&gt;=2.286,T52,IF($H$14&gt;=1.524,T52,T52))))</f>
        <v>43900</v>
      </c>
      <c r="AH126" s="198"/>
    </row>
    <row r="127" spans="2:34" ht="15.75" customHeight="1" x14ac:dyDescent="0.25">
      <c r="B127" s="131" t="str">
        <f>IF(R53="","",R53)</f>
        <v>BlueFan 1.2 kw — 550 rpm</v>
      </c>
      <c r="C127" s="133"/>
      <c r="D127" s="135"/>
      <c r="E127" s="134">
        <f t="shared" si="43"/>
        <v>37.5</v>
      </c>
      <c r="F127" s="111">
        <f>IF(E127="","",IF($H$14&gt;3.65,W53,IF($H$14&gt;=3,V53, IF($H$14&gt;=2.25,U53,IF($H$14&gt;=1.5,T53,T53)))))</f>
        <v>46400</v>
      </c>
      <c r="G127" s="106">
        <f>+IF(R53="","",ROUNDUP(AF127/F127,0))</f>
        <v>10</v>
      </c>
      <c r="H127" s="112">
        <f t="shared" si="40"/>
        <v>0</v>
      </c>
      <c r="I127" s="113">
        <f t="shared" si="44"/>
        <v>464000</v>
      </c>
      <c r="J127" s="114">
        <f>+IF(X53="","",IF(H127&gt;0,ROUND((H127*(($U53)/(($X53)))/1000),1),ROUND((G127*(($U53)/(($X53)))/1000),1)))</f>
        <v>12.5</v>
      </c>
      <c r="K127" s="107">
        <f>+IF(X53="","",IF(H127&gt;0,ROUND((H127*(($U53)/(($X53)))/1000*$H$13*$H$11),-1),ROUND((G127*(($U53)/(($X53)))/1000*$H$13*$H$11),-1)))+Z127</f>
        <v>8665</v>
      </c>
      <c r="L127" s="115">
        <f t="shared" si="45"/>
        <v>3.7</v>
      </c>
      <c r="M127" s="116">
        <f t="shared" si="46"/>
        <v>9.7160871904000015</v>
      </c>
      <c r="N127" s="76"/>
      <c r="O127" s="76"/>
      <c r="P127" s="76"/>
      <c r="Q127" s="76"/>
      <c r="R127" s="108">
        <f t="shared" si="25"/>
        <v>72.761738116068827</v>
      </c>
      <c r="S127" s="117">
        <f t="shared" si="26"/>
        <v>1549.76</v>
      </c>
      <c r="T127" s="118">
        <f t="shared" si="27"/>
        <v>2927.8399999999997</v>
      </c>
      <c r="U127" s="109">
        <f t="shared" si="42"/>
        <v>18950</v>
      </c>
      <c r="V127" s="119">
        <f t="shared" si="29"/>
        <v>43325</v>
      </c>
      <c r="W127" s="120">
        <f t="shared" si="47"/>
        <v>62275</v>
      </c>
      <c r="X127" s="121">
        <f t="shared" si="48"/>
        <v>86650</v>
      </c>
      <c r="Y127" s="122">
        <f t="shared" si="49"/>
        <v>105600</v>
      </c>
      <c r="Z127" s="123">
        <f t="shared" si="33"/>
        <v>825</v>
      </c>
      <c r="AA127" s="142">
        <f t="shared" si="34"/>
        <v>8250</v>
      </c>
      <c r="AB127" s="292"/>
      <c r="AC127" s="290">
        <f>+IF(X53="","",IF(X53&gt;=37.38,4,IF(X53&gt;=35.68,3,IF(X53&gt;=33.98,2,IF(X53&gt;=32.28,1,0)))))</f>
        <v>4</v>
      </c>
      <c r="AD127" s="290">
        <f>+IF(OR(W53="",T53=""),"",IF(N127&gt;0.82,4,IF(N127&gt;0.77,3,IF(N127&gt;0.72,2,IF(N127&gt;=0.7,1,0)))))</f>
        <v>0</v>
      </c>
      <c r="AE127" s="290">
        <f t="shared" si="37"/>
        <v>438479.99999999994</v>
      </c>
      <c r="AF127" s="290">
        <f t="shared" si="50"/>
        <v>438479.99999999994</v>
      </c>
      <c r="AG127" s="293">
        <f>IF($H$14&gt;3.556,V53,IF($H$14&gt;=3.048,U53, IF($H$14&gt;=2.286,T53,IF($H$14&gt;=1.524,T53,T53))))</f>
        <v>49900</v>
      </c>
      <c r="AH127" s="198"/>
    </row>
    <row r="128" spans="2:34" ht="15.75" customHeight="1" x14ac:dyDescent="0.25">
      <c r="B128" s="131" t="str">
        <f>IF(R57="","",R57)</f>
        <v>BlueFan 2.3 kw — 464 rpm</v>
      </c>
      <c r="C128" s="133"/>
      <c r="D128" s="135"/>
      <c r="E128" s="134">
        <f t="shared" si="43"/>
        <v>37.5</v>
      </c>
      <c r="F128" s="111">
        <f>IF(E128="","",IF($H$14&gt;3.65,W57,IF($H$14&gt;=3,V57, IF($H$14&gt;=2.25,U57,IF($H$14&gt;=1.5,T57,T57)))))</f>
        <v>35700</v>
      </c>
      <c r="G128" s="106">
        <f>+IF(R57="","",ROUNDUP(AF128/F128,0))</f>
        <v>13</v>
      </c>
      <c r="H128" s="112">
        <f t="shared" si="40"/>
        <v>0</v>
      </c>
      <c r="I128" s="113">
        <f t="shared" si="44"/>
        <v>464100</v>
      </c>
      <c r="J128" s="114">
        <f>+IF(X57="","",IF(H128&gt;0,ROUND((H128*(($U57)/(($X57)))/1000),1),ROUND((G128*(($U57)/(($X57)))/1000),1)))</f>
        <v>10.1</v>
      </c>
      <c r="K128" s="107">
        <f>+IF(X57="","",IF(H128&gt;0,ROUND((H128*(($U57)/(($X57)))/1000*$H$13*$H$11),-1),ROUND((G128*(($U57)/(($X57)))/1000*$H$13*$H$11),-1)))+Z128</f>
        <v>7016.6</v>
      </c>
      <c r="L128" s="115">
        <f t="shared" si="45"/>
        <v>3.7</v>
      </c>
      <c r="M128" s="116">
        <f t="shared" si="46"/>
        <v>9.7160871904000015</v>
      </c>
      <c r="N128" s="76"/>
      <c r="O128" s="76"/>
      <c r="P128" s="76"/>
      <c r="Q128" s="76"/>
      <c r="R128" s="108">
        <f t="shared" si="25"/>
        <v>75.823855351414409</v>
      </c>
      <c r="S128" s="117">
        <f t="shared" si="26"/>
        <v>1550.0940000000001</v>
      </c>
      <c r="T128" s="118">
        <f t="shared" si="27"/>
        <v>2928.471</v>
      </c>
      <c r="U128" s="109">
        <f t="shared" si="42"/>
        <v>24635</v>
      </c>
      <c r="V128" s="119">
        <f t="shared" si="29"/>
        <v>35083</v>
      </c>
      <c r="W128" s="120">
        <f t="shared" si="47"/>
        <v>59718</v>
      </c>
      <c r="X128" s="121">
        <f t="shared" si="48"/>
        <v>70166</v>
      </c>
      <c r="Y128" s="122">
        <f t="shared" si="49"/>
        <v>94801</v>
      </c>
      <c r="Z128" s="123">
        <f t="shared" si="33"/>
        <v>666.59999999999991</v>
      </c>
      <c r="AA128" s="142">
        <f t="shared" si="34"/>
        <v>6665.9999999999991</v>
      </c>
      <c r="AB128" s="292"/>
      <c r="AC128" s="290">
        <f>+IF(X57="","",IF(X57&gt;=37.38,4,IF(X57&gt;=35.68,3,IF(X57&gt;=33.98,2,IF(X57&gt;=32.28,1,0)))))</f>
        <v>4</v>
      </c>
      <c r="AD128" s="290">
        <f>+IF(OR(W57="",T57=""),"",IF(N128&gt;0.82,4,IF(N128&gt;0.77,3,IF(N128&gt;0.72,2,IF(N128&gt;=0.7,1,0)))))</f>
        <v>0</v>
      </c>
      <c r="AE128" s="290">
        <f t="shared" si="37"/>
        <v>438479.99999999994</v>
      </c>
      <c r="AF128" s="290">
        <f t="shared" si="50"/>
        <v>438479.99999999994</v>
      </c>
      <c r="AG128" s="293">
        <f>IF($H$14&gt;3.556,V57,IF($H$14&gt;=3.048,U57, IF($H$14&gt;=2.286,T57,IF($H$14&gt;=1.524,T57,T57))))</f>
        <v>40000</v>
      </c>
      <c r="AH128" s="198"/>
    </row>
    <row r="129" spans="2:34" ht="15.75" customHeight="1" x14ac:dyDescent="0.25">
      <c r="B129" s="131" t="str">
        <f>IF(R58="","",R58)</f>
        <v>BlueFan 2.3 kw —500 rpm</v>
      </c>
      <c r="C129" s="133"/>
      <c r="D129" s="135"/>
      <c r="E129" s="134">
        <f t="shared" si="43"/>
        <v>37.5</v>
      </c>
      <c r="F129" s="111">
        <f>IF(E129="","",IF($H$14&gt;3.65,W58,IF($H$14&gt;=3,V58, IF($H$14&gt;=2.25,U58,IF($H$14&gt;=1.5,T58,T58)))))</f>
        <v>40300</v>
      </c>
      <c r="G129" s="106">
        <f>+IF(R58="","",ROUNDUP(AF129/F129,0))</f>
        <v>11</v>
      </c>
      <c r="H129" s="112">
        <f t="shared" si="40"/>
        <v>0</v>
      </c>
      <c r="I129" s="113">
        <f t="shared" si="44"/>
        <v>443300</v>
      </c>
      <c r="J129" s="114">
        <f>+IF(X58="","",IF(H129&gt;0,ROUND((H129*(($U58)/(($X58)))/1000),1),ROUND((G129*(($U58)/(($X58)))/1000),1)))</f>
        <v>10.3</v>
      </c>
      <c r="K129" s="107">
        <f>+IF(X58="","",IF(H129&gt;0,ROUND((H129*(($U58)/(($X58)))/1000*$H$13*$H$11),-1),ROUND((G129*(($U58)/(($X58)))/1000*$H$13*$H$11),-1)))+Z129</f>
        <v>7109.8</v>
      </c>
      <c r="L129" s="115">
        <f t="shared" si="45"/>
        <v>3.54</v>
      </c>
      <c r="M129" s="116">
        <f t="shared" si="46"/>
        <v>9.7160871904000015</v>
      </c>
      <c r="N129" s="76"/>
      <c r="O129" s="76"/>
      <c r="P129" s="76"/>
      <c r="Q129" s="76"/>
      <c r="R129" s="108">
        <f t="shared" si="25"/>
        <v>70.574511519393411</v>
      </c>
      <c r="S129" s="117">
        <f t="shared" si="26"/>
        <v>1480.6220000000001</v>
      </c>
      <c r="T129" s="118">
        <f t="shared" si="27"/>
        <v>2797.223</v>
      </c>
      <c r="U129" s="109">
        <f t="shared" si="42"/>
        <v>20845</v>
      </c>
      <c r="V129" s="119">
        <f t="shared" si="29"/>
        <v>35549</v>
      </c>
      <c r="W129" s="120">
        <f t="shared" si="47"/>
        <v>56394</v>
      </c>
      <c r="X129" s="121">
        <f t="shared" si="48"/>
        <v>71098</v>
      </c>
      <c r="Y129" s="122">
        <f t="shared" si="49"/>
        <v>91943</v>
      </c>
      <c r="Z129" s="123">
        <f t="shared" si="33"/>
        <v>679.80000000000007</v>
      </c>
      <c r="AA129" s="142">
        <f t="shared" si="34"/>
        <v>6798.0000000000009</v>
      </c>
      <c r="AB129" s="292"/>
      <c r="AC129" s="290">
        <f>+IF(X58="","",IF(X58&gt;=37.38,4,IF(X58&gt;=35.68,3,IF(X58&gt;=33.98,2,IF(X58&gt;=32.28,1,0)))))</f>
        <v>4</v>
      </c>
      <c r="AD129" s="290">
        <f>+IF(OR(W58="",T58=""),"",IF(N129&gt;0.82,4,IF(N129&gt;0.77,3,IF(N129&gt;0.72,2,IF(N129&gt;=0.7,1,0)))))</f>
        <v>0</v>
      </c>
      <c r="AE129" s="290">
        <f t="shared" si="37"/>
        <v>438479.99999999994</v>
      </c>
      <c r="AF129" s="290">
        <f t="shared" si="50"/>
        <v>438479.99999999994</v>
      </c>
      <c r="AG129" s="293">
        <f>IF($H$14&gt;3.556,V58,IF($H$14&gt;=3.048,U58, IF($H$14&gt;=2.286,T58,IF($H$14&gt;=1.524,T58,T58))))</f>
        <v>44000</v>
      </c>
      <c r="AH129" s="198"/>
    </row>
    <row r="130" spans="2:34" ht="15.75" customHeight="1" x14ac:dyDescent="0.25">
      <c r="B130" s="131" t="str">
        <f>IF(R59="","",R59)</f>
        <v>BlueFan 2.3 kw —550 rpm</v>
      </c>
      <c r="C130" s="133"/>
      <c r="D130" s="135"/>
      <c r="E130" s="134">
        <f t="shared" si="43"/>
        <v>37.5</v>
      </c>
      <c r="F130" s="111">
        <f>IF(E130="","",IF($H$14&gt;3.65,W59,IF($H$14&gt;=3,V59, IF($H$14&gt;=2.25,U59,IF($H$14&gt;=1.5,T59,T59)))))</f>
        <v>46600</v>
      </c>
      <c r="G130" s="106">
        <f>+IF(R59="","",ROUNDUP(AF130/F130,0))</f>
        <v>10</v>
      </c>
      <c r="H130" s="112">
        <f t="shared" si="40"/>
        <v>0</v>
      </c>
      <c r="I130" s="113">
        <f t="shared" si="44"/>
        <v>466000</v>
      </c>
      <c r="J130" s="114">
        <f>+IF(X59="","",IF(H130&gt;0,ROUND((H130*(($U59)/(($X59)))/1000),1),ROUND((G130*(($U59)/(($X59)))/1000),1)))</f>
        <v>12</v>
      </c>
      <c r="K130" s="107">
        <f>+IF(X59="","",IF(H130&gt;0,ROUND((H130*(($U59)/(($X59)))/1000*$H$13*$H$11),-1),ROUND((G130*(($U59)/(($X59)))/1000*$H$13*$H$11),-1)))+Z130</f>
        <v>8292</v>
      </c>
      <c r="L130" s="115">
        <f t="shared" si="45"/>
        <v>3.72</v>
      </c>
      <c r="M130" s="116">
        <f t="shared" si="46"/>
        <v>9.7160871904000015</v>
      </c>
      <c r="N130" s="76"/>
      <c r="O130" s="76"/>
      <c r="P130" s="76"/>
      <c r="Q130" s="76"/>
      <c r="R130" s="108">
        <f t="shared" si="25"/>
        <v>72.615923009623799</v>
      </c>
      <c r="S130" s="117">
        <f t="shared" si="26"/>
        <v>1556.44</v>
      </c>
      <c r="T130" s="118">
        <f t="shared" si="27"/>
        <v>2940.46</v>
      </c>
      <c r="U130" s="109">
        <f t="shared" si="42"/>
        <v>18950</v>
      </c>
      <c r="V130" s="119">
        <f t="shared" si="29"/>
        <v>41460</v>
      </c>
      <c r="W130" s="120">
        <f t="shared" si="47"/>
        <v>60410</v>
      </c>
      <c r="X130" s="121">
        <f t="shared" si="48"/>
        <v>82920</v>
      </c>
      <c r="Y130" s="122">
        <f t="shared" si="49"/>
        <v>101870</v>
      </c>
      <c r="Z130" s="123">
        <f t="shared" si="33"/>
        <v>792</v>
      </c>
      <c r="AA130" s="142">
        <f t="shared" si="34"/>
        <v>7920</v>
      </c>
      <c r="AB130" s="292"/>
      <c r="AC130" s="290">
        <f>+IF(X59="","",IF(X59&gt;=37.38,4,IF(X59&gt;=35.68,3,IF(X59&gt;=33.98,2,IF(X59&gt;=32.28,1,0)))))</f>
        <v>4</v>
      </c>
      <c r="AD130" s="290">
        <f>+IF(OR(W59="",T59=""),"",IF(N130&gt;0.82,4,IF(N130&gt;0.77,3,IF(N130&gt;0.72,2,IF(N130&gt;=0.7,1,0)))))</f>
        <v>0</v>
      </c>
      <c r="AE130" s="290">
        <f t="shared" si="37"/>
        <v>438479.99999999994</v>
      </c>
      <c r="AF130" s="290">
        <f t="shared" si="50"/>
        <v>438479.99999999994</v>
      </c>
      <c r="AG130" s="293">
        <f>IF($H$14&gt;3.556,V59,IF($H$14&gt;=3.048,U59, IF($H$14&gt;=2.286,T59,IF($H$14&gt;=1.524,T59,T59))))</f>
        <v>49800</v>
      </c>
      <c r="AH130" s="198"/>
    </row>
    <row r="131" spans="2:34" ht="15.75" customHeight="1" x14ac:dyDescent="0.25">
      <c r="B131" s="131" t="str">
        <f>IF(R60="","",R60)</f>
        <v>BlueFan 2.3 kw —650 rpm</v>
      </c>
      <c r="C131" s="133"/>
      <c r="D131" s="135"/>
      <c r="E131" s="134">
        <f t="shared" si="43"/>
        <v>37.5</v>
      </c>
      <c r="F131" s="111">
        <f>IF(E131="","",IF($H$14&gt;3.65,W60,IF($H$14&gt;=3,V60, IF($H$14&gt;=2.25,U60,IF($H$14&gt;=1.5,T60,T60)))))</f>
        <v>58400</v>
      </c>
      <c r="G131" s="106">
        <f>+IF(R60="","",ROUNDUP(AF131/F131,0))</f>
        <v>8</v>
      </c>
      <c r="H131" s="112">
        <f>IF(H244="",0,H244)</f>
        <v>0</v>
      </c>
      <c r="I131" s="113">
        <f t="shared" si="44"/>
        <v>467200</v>
      </c>
      <c r="J131" s="114">
        <f>+IF(X60="","",IF(H131&gt;0,ROUND((H131*(($U60)/(($X60)))/1000),1),ROUND((G131*(($U60)/(($X60)))/1000),1)))</f>
        <v>14.6</v>
      </c>
      <c r="K131" s="107">
        <f>+IF(X60="","",IF(H131&gt;0,ROUND((H131*(($U60)/(($X60)))/1000*$H$13*$H$11),-1),ROUND((G131*(($U60)/(($X60)))/1000*$H$13*$H$11),-1)))+Z131</f>
        <v>10103.6</v>
      </c>
      <c r="L131" s="115">
        <f t="shared" si="45"/>
        <v>3.73</v>
      </c>
      <c r="M131" s="116">
        <f t="shared" si="46"/>
        <v>9.7160871904000015</v>
      </c>
      <c r="N131" s="76"/>
      <c r="O131" s="76"/>
      <c r="P131" s="76"/>
      <c r="Q131" s="76"/>
      <c r="R131" s="108">
        <f t="shared" si="25"/>
        <v>71.041119860017503</v>
      </c>
      <c r="S131" s="117">
        <f t="shared" si="26"/>
        <v>1560.4480000000001</v>
      </c>
      <c r="T131" s="118">
        <f t="shared" si="27"/>
        <v>2948.0319999999997</v>
      </c>
      <c r="U131" s="109">
        <f t="shared" si="42"/>
        <v>15160</v>
      </c>
      <c r="V131" s="119">
        <f t="shared" si="29"/>
        <v>50518</v>
      </c>
      <c r="W131" s="120">
        <f t="shared" si="47"/>
        <v>65678</v>
      </c>
      <c r="X131" s="121">
        <f t="shared" si="48"/>
        <v>101036</v>
      </c>
      <c r="Y131" s="122">
        <f t="shared" si="49"/>
        <v>116196</v>
      </c>
      <c r="Z131" s="123">
        <f t="shared" si="33"/>
        <v>963.59999999999991</v>
      </c>
      <c r="AA131" s="142">
        <f t="shared" si="34"/>
        <v>9636</v>
      </c>
      <c r="AB131" s="292"/>
      <c r="AC131" s="290">
        <f>+IF(X60="","",IF(X60&gt;=37.38,4,IF(X60&gt;=35.68,3,IF(X60&gt;=33.98,2,IF(X60&gt;=32.28,1,0)))))</f>
        <v>1</v>
      </c>
      <c r="AD131" s="290">
        <f>+IF(OR(W60="",T60=""),"",IF(N131&gt;0.82,4,IF(N131&gt;0.77,3,IF(N131&gt;0.72,2,IF(N131&gt;=0.7,1,0)))))</f>
        <v>0</v>
      </c>
      <c r="AE131" s="290">
        <f t="shared" si="37"/>
        <v>438479.99999999994</v>
      </c>
      <c r="AF131" s="290">
        <f t="shared" si="50"/>
        <v>438479.99999999994</v>
      </c>
      <c r="AG131" s="293">
        <f>IF($H$14&gt;3.556,V60,IF($H$14&gt;=3.048,U60, IF($H$14&gt;=2.286,T60,IF($H$14&gt;=1.524,T60,T60))))</f>
        <v>60900</v>
      </c>
      <c r="AH131" s="198"/>
    </row>
    <row r="132" spans="2:34" ht="15.75" customHeight="1" x14ac:dyDescent="0.25">
      <c r="B132" s="131" t="str">
        <f>IF(R77="","",R77)</f>
        <v>MagFan — 670 RPM</v>
      </c>
      <c r="C132" s="133"/>
      <c r="D132" s="135"/>
      <c r="E132" s="134">
        <f t="shared" si="43"/>
        <v>37.5</v>
      </c>
      <c r="F132" s="111">
        <f>IF(E132="","",IF($H$14&gt;3.65,W77,IF($H$14&gt;=3,V77, IF($H$14&gt;=2.25,U77,IF($H$14&gt;=1.5,T77,T77)))))</f>
        <v>55148</v>
      </c>
      <c r="G132" s="106">
        <f t="shared" ref="G132:G146" si="51">+IF(R63="","",ROUNDUP(AF132/F132,0))</f>
        <v>8</v>
      </c>
      <c r="H132" s="112">
        <f>IF(H243="",0,H243)</f>
        <v>0</v>
      </c>
      <c r="I132" s="113">
        <f t="shared" si="44"/>
        <v>441200</v>
      </c>
      <c r="J132" s="114">
        <f>+IF(X77="","",IF(H132&gt;0,ROUND((H132*(($U77)/(($X77)))/1000),1),ROUND((G132*(($U77)/(($X77)))/1000),1)))</f>
        <v>10.1</v>
      </c>
      <c r="K132" s="107">
        <f>+IF(X77="","",IF(H132&gt;0,ROUND((H132*(($U77)/(($X77)))/1000*$H$13*$H$11),-1),ROUND((G132*(($U77)/(($X77)))/1000*$H$13*$H$11),-1)))+Z132</f>
        <v>6996.6</v>
      </c>
      <c r="L132" s="115">
        <f t="shared" si="45"/>
        <v>3.52</v>
      </c>
      <c r="M132" s="116">
        <f t="shared" si="46"/>
        <v>9.7160871904000015</v>
      </c>
      <c r="N132" s="76"/>
      <c r="O132" s="76"/>
      <c r="P132" s="76"/>
      <c r="Q132" s="76"/>
      <c r="R132" s="108">
        <f t="shared" ref="R132:R157" si="52">+IF(B132="","",IF(H132&gt;0,H132*AG132/6858,G132*AG132/6858))</f>
        <v>67.433070866141733</v>
      </c>
      <c r="S132" s="117">
        <f t="shared" ref="S132:S157" si="53">+IF(B132="","",I132*0.00334)</f>
        <v>1473.6079999999999</v>
      </c>
      <c r="T132" s="118">
        <f t="shared" ref="T132:T157" si="54">+IF(B132="","",I132*0.00631)</f>
        <v>2783.9719999999998</v>
      </c>
      <c r="U132" s="109">
        <f t="shared" si="42"/>
        <v>15160</v>
      </c>
      <c r="V132" s="119">
        <f t="shared" ref="V132:V157" si="55">+IF(K132="","",K132*5)</f>
        <v>34983</v>
      </c>
      <c r="W132" s="120">
        <f t="shared" si="47"/>
        <v>50143</v>
      </c>
      <c r="X132" s="121">
        <f t="shared" si="48"/>
        <v>69966</v>
      </c>
      <c r="Y132" s="122">
        <f t="shared" si="49"/>
        <v>85126</v>
      </c>
      <c r="Z132" s="123">
        <f t="shared" ref="Z132:Z157" si="56">(J132*$H$12)*5.5</f>
        <v>666.59999999999991</v>
      </c>
      <c r="AA132" s="142">
        <f t="shared" ref="AA132:AA157" si="57">Z132*10</f>
        <v>6665.9999999999991</v>
      </c>
      <c r="AB132" s="292"/>
      <c r="AC132" s="290">
        <f>+IF(X77="","",IF(X77&gt;=37.38,4,IF(X77&gt;=35.68,3,IF(X77&gt;=33.98,2,IF(X77&gt;=32.28,1,0)))))</f>
        <v>4</v>
      </c>
      <c r="AD132" s="290">
        <f>+IF(OR(W77="",T77=""),"",IF(N132&gt;0.82,4,IF(N132&gt;0.77,3,IF(N132&gt;0.72,2,IF(N132&gt;=0.7,1,0)))))</f>
        <v>0</v>
      </c>
      <c r="AE132" s="290">
        <f t="shared" si="37"/>
        <v>438479.99999999994</v>
      </c>
      <c r="AF132" s="290">
        <f t="shared" si="50"/>
        <v>438479.99999999994</v>
      </c>
      <c r="AG132" s="293">
        <f>IF($H$14&gt;3.556,V77,IF($H$14&gt;=3.048,U77, IF($H$14&gt;=2.286,T77,IF($H$14&gt;=1.524,T77,T77))))</f>
        <v>57807</v>
      </c>
      <c r="AH132" s="198"/>
    </row>
    <row r="133" spans="2:34" ht="15.75" customHeight="1" x14ac:dyDescent="0.25">
      <c r="B133" s="131" t="str">
        <f>IF(R76="","",R76)</f>
        <v>MagFan — 645 RPM</v>
      </c>
      <c r="C133" s="133"/>
      <c r="D133" s="135"/>
      <c r="E133" s="134">
        <f t="shared" si="43"/>
        <v>37.5</v>
      </c>
      <c r="F133" s="111">
        <f>IF(E133="","",IF($H$14&gt;3.65,W76,IF($H$14&gt;=3,V76, IF($H$14&gt;=2.25,U76,IF($H$14&gt;=1.5,T76,T76)))))</f>
        <v>52151</v>
      </c>
      <c r="G133" s="106">
        <f t="shared" si="51"/>
        <v>9</v>
      </c>
      <c r="H133" s="112">
        <f t="shared" ref="H133:H156" si="58">IF(B$23=B133,E$23,IF(B$24=B133,E$24,IF(B$25=B133,E$25,IF(B$26=B133,E$26,IF(B$28=B133,E$28,0)))))</f>
        <v>0</v>
      </c>
      <c r="I133" s="113">
        <f t="shared" si="44"/>
        <v>469400</v>
      </c>
      <c r="J133" s="114">
        <f>+IF(X76="","",IF(H133&gt;0,ROUND((H133*(($U76)/(($X76)))/1000),1),ROUND((G133*(($U76)/(($X76)))/1000),1)))</f>
        <v>10.4</v>
      </c>
      <c r="K133" s="107">
        <f>+IF(X76="","",IF(H133&gt;0,ROUND((H133*(($U76)/(($X76)))/1000*$H$13*$H$11),-1),ROUND((G133*(($U76)/(($X76)))/1000*$H$13*$H$11),-1)))+Z133</f>
        <v>7206.4</v>
      </c>
      <c r="L133" s="115">
        <f t="shared" si="45"/>
        <v>3.75</v>
      </c>
      <c r="M133" s="116">
        <f t="shared" si="46"/>
        <v>9.7160871904000015</v>
      </c>
      <c r="N133" s="76"/>
      <c r="O133" s="76"/>
      <c r="P133" s="76"/>
      <c r="Q133" s="76"/>
      <c r="R133" s="108">
        <f t="shared" si="52"/>
        <v>72.427821522309713</v>
      </c>
      <c r="S133" s="117">
        <f t="shared" si="53"/>
        <v>1567.796</v>
      </c>
      <c r="T133" s="118">
        <f t="shared" si="54"/>
        <v>2961.9139999999998</v>
      </c>
      <c r="U133" s="109">
        <f t="shared" si="42"/>
        <v>17055</v>
      </c>
      <c r="V133" s="119">
        <f t="shared" si="55"/>
        <v>36032</v>
      </c>
      <c r="W133" s="120">
        <f t="shared" si="47"/>
        <v>53087</v>
      </c>
      <c r="X133" s="121">
        <f t="shared" si="48"/>
        <v>72064</v>
      </c>
      <c r="Y133" s="122">
        <f t="shared" si="49"/>
        <v>89119</v>
      </c>
      <c r="Z133" s="123">
        <f t="shared" si="56"/>
        <v>686.40000000000009</v>
      </c>
      <c r="AA133" s="142">
        <f t="shared" si="57"/>
        <v>6864.0000000000009</v>
      </c>
      <c r="AB133" s="292"/>
      <c r="AC133" s="290">
        <f>+IF(X76="","",IF(X76&gt;=37.38,4,IF(X76&gt;=35.68,3,IF(X76&gt;=33.98,2,IF(X76&gt;=32.28,1,0)))))</f>
        <v>4</v>
      </c>
      <c r="AD133" s="290">
        <f>+IF(OR(W76="",T76=""),"",IF(N133&gt;0.82,4,IF(N133&gt;0.77,3,IF(N133&gt;0.72,2,IF(N133&gt;=0.7,1,0)))))</f>
        <v>0</v>
      </c>
      <c r="AE133" s="290">
        <f t="shared" si="37"/>
        <v>438479.99999999994</v>
      </c>
      <c r="AF133" s="290">
        <f t="shared" si="50"/>
        <v>438479.99999999994</v>
      </c>
      <c r="AG133" s="293">
        <f>IF($H$14&gt;3.556,V76,IF($H$14&gt;=3.048,U76, IF($H$14&gt;=2.286,T76,IF($H$14&gt;=1.524,T76,T76))))</f>
        <v>55190</v>
      </c>
      <c r="AH133" s="198"/>
    </row>
    <row r="134" spans="2:34" ht="15.75" customHeight="1" x14ac:dyDescent="0.25">
      <c r="B134" s="131" t="str">
        <f>IF(R75="","",R75)</f>
        <v>MagFan — 630 RPM</v>
      </c>
      <c r="C134" s="133"/>
      <c r="D134" s="135"/>
      <c r="E134" s="134">
        <f t="shared" si="43"/>
        <v>37.5</v>
      </c>
      <c r="F134" s="111">
        <f>IF(E134="","",IF($H$14&gt;3.65,W75,IF($H$14&gt;=3,V75, IF($H$14&gt;=2.25,U75,IF($H$14&gt;=1.5,T75,T75)))))</f>
        <v>50467</v>
      </c>
      <c r="G134" s="106">
        <f t="shared" si="51"/>
        <v>9</v>
      </c>
      <c r="H134" s="112">
        <f t="shared" si="58"/>
        <v>0</v>
      </c>
      <c r="I134" s="113">
        <f t="shared" si="44"/>
        <v>454200</v>
      </c>
      <c r="J134" s="114">
        <f>+IF(X75="","",IF(H134&gt;0,ROUND((H134*(($U75)/(($X75)))/1000),1),ROUND((G134*(($U75)/(($X75)))/1000),1)))</f>
        <v>9.8000000000000007</v>
      </c>
      <c r="K134" s="107">
        <f>+IF(X75="","",IF(H134&gt;0,ROUND((H134*(($U75)/(($X75)))/1000*$H$13*$H$11),-1),ROUND((G134*(($U75)/(($X75)))/1000*$H$13*$H$11),-1)))+Z134</f>
        <v>6766.8</v>
      </c>
      <c r="L134" s="115">
        <f t="shared" si="45"/>
        <v>3.63</v>
      </c>
      <c r="M134" s="116">
        <f t="shared" si="46"/>
        <v>9.7160871904000015</v>
      </c>
      <c r="N134" s="76"/>
      <c r="O134" s="76"/>
      <c r="P134" s="76"/>
      <c r="Q134" s="76"/>
      <c r="R134" s="108">
        <f t="shared" si="52"/>
        <v>70.776902887139101</v>
      </c>
      <c r="S134" s="117">
        <f t="shared" si="53"/>
        <v>1517.028</v>
      </c>
      <c r="T134" s="118">
        <f t="shared" si="54"/>
        <v>2866.002</v>
      </c>
      <c r="U134" s="109">
        <f t="shared" si="42"/>
        <v>17055</v>
      </c>
      <c r="V134" s="119">
        <f t="shared" si="55"/>
        <v>33834</v>
      </c>
      <c r="W134" s="120">
        <f t="shared" si="47"/>
        <v>50889</v>
      </c>
      <c r="X134" s="121">
        <f t="shared" si="48"/>
        <v>67668</v>
      </c>
      <c r="Y134" s="122">
        <f t="shared" si="49"/>
        <v>84723</v>
      </c>
      <c r="Z134" s="123">
        <f t="shared" si="56"/>
        <v>646.80000000000007</v>
      </c>
      <c r="AA134" s="142">
        <f t="shared" si="57"/>
        <v>6468.0000000000009</v>
      </c>
      <c r="AB134" s="292"/>
      <c r="AC134" s="290">
        <f>+IF(X75="","",IF(X75&gt;=37.38,4,IF(X75&gt;=35.68,3,IF(X75&gt;=33.98,2,IF(X75&gt;=32.28,1,0)))))</f>
        <v>4</v>
      </c>
      <c r="AD134" s="290">
        <f>+IF(OR(W75="",T75=""),"",IF(N134&gt;0.82,4,IF(N134&gt;0.77,3,IF(N134&gt;0.72,2,IF(N134&gt;=0.7,1,0)))))</f>
        <v>0</v>
      </c>
      <c r="AE134" s="290">
        <f t="shared" si="37"/>
        <v>438479.99999999994</v>
      </c>
      <c r="AF134" s="290">
        <f t="shared" si="50"/>
        <v>438479.99999999994</v>
      </c>
      <c r="AG134" s="293">
        <f>IF($H$14&gt;3.556,V75,IF($H$14&gt;=3.048,U75, IF($H$14&gt;=2.286,T75,IF($H$14&gt;=1.524,T75,T75))))</f>
        <v>53932</v>
      </c>
      <c r="AH134" s="198"/>
    </row>
    <row r="135" spans="2:34" ht="15.75" customHeight="1" x14ac:dyDescent="0.25">
      <c r="B135" s="131" t="str">
        <f>IF(R74="","",R74)</f>
        <v>MagFan — 612 RPM</v>
      </c>
      <c r="C135" s="133"/>
      <c r="D135" s="135"/>
      <c r="E135" s="134">
        <f t="shared" si="43"/>
        <v>37.5</v>
      </c>
      <c r="F135" s="111">
        <f>IF(E135="","",IF($H$14&gt;3.65,W74,IF($H$14&gt;=3,V74, IF($H$14&gt;=2.25,U74,IF($H$14&gt;=1.5,T74,T74)))))</f>
        <v>48729</v>
      </c>
      <c r="G135" s="106">
        <f t="shared" si="51"/>
        <v>9</v>
      </c>
      <c r="H135" s="112">
        <f t="shared" si="58"/>
        <v>0</v>
      </c>
      <c r="I135" s="113">
        <f t="shared" si="44"/>
        <v>438600</v>
      </c>
      <c r="J135" s="114">
        <f>+IF(X74="","",IF(H135&gt;0,ROUND((H135*(($U74)/(($X74)))/1000),1),ROUND((G135*(($U74)/(($X74)))/1000),1)))</f>
        <v>9.1999999999999993</v>
      </c>
      <c r="K135" s="107">
        <f>+IF(X74="","",IF(H135&gt;0,ROUND((H135*(($U74)/(($X74)))/1000*$H$13*$H$11),-1),ROUND((G135*(($U74)/(($X74)))/1000*$H$13*$H$11),-1)))+Z135</f>
        <v>6347.2</v>
      </c>
      <c r="L135" s="115">
        <f t="shared" si="45"/>
        <v>3.5</v>
      </c>
      <c r="M135" s="116">
        <f t="shared" si="46"/>
        <v>9.7160871904000015</v>
      </c>
      <c r="N135" s="76"/>
      <c r="O135" s="76"/>
      <c r="P135" s="76"/>
      <c r="Q135" s="76"/>
      <c r="R135" s="108">
        <f t="shared" si="52"/>
        <v>67.69553805774278</v>
      </c>
      <c r="S135" s="117">
        <f t="shared" si="53"/>
        <v>1464.924</v>
      </c>
      <c r="T135" s="118">
        <f t="shared" si="54"/>
        <v>2767.5659999999998</v>
      </c>
      <c r="U135" s="109">
        <f t="shared" si="42"/>
        <v>17055</v>
      </c>
      <c r="V135" s="119">
        <f t="shared" si="55"/>
        <v>31736</v>
      </c>
      <c r="W135" s="120">
        <f t="shared" si="47"/>
        <v>48791</v>
      </c>
      <c r="X135" s="121">
        <f t="shared" si="48"/>
        <v>63472</v>
      </c>
      <c r="Y135" s="122">
        <f t="shared" si="49"/>
        <v>80527</v>
      </c>
      <c r="Z135" s="123">
        <f t="shared" si="56"/>
        <v>607.19999999999993</v>
      </c>
      <c r="AA135" s="142">
        <f t="shared" si="57"/>
        <v>6071.9999999999991</v>
      </c>
      <c r="AB135" s="292"/>
      <c r="AC135" s="290">
        <f>+IF(X74="","",IF(X74&gt;=37.38,4,IF(X74&gt;=35.68,3,IF(X74&gt;=33.98,2,IF(X74&gt;=32.28,1,0)))))</f>
        <v>4</v>
      </c>
      <c r="AD135" s="290">
        <f>+IF(OR(W74="",T74=""),"",IF(N135&gt;0.82,4,IF(N135&gt;0.77,3,IF(N135&gt;0.72,2,IF(N135&gt;=0.7,1,0)))))</f>
        <v>0</v>
      </c>
      <c r="AE135" s="290">
        <f t="shared" si="37"/>
        <v>438479.99999999994</v>
      </c>
      <c r="AF135" s="290">
        <f t="shared" si="50"/>
        <v>438479.99999999994</v>
      </c>
      <c r="AG135" s="293">
        <f>IF($H$14&gt;3.556,V74,IF($H$14&gt;=3.048,U74, IF($H$14&gt;=2.286,T74,IF($H$14&gt;=1.524,T74,T74))))</f>
        <v>51584</v>
      </c>
      <c r="AH135" s="198"/>
    </row>
    <row r="136" spans="2:34" ht="15.75" customHeight="1" x14ac:dyDescent="0.25">
      <c r="B136" s="131" t="str">
        <f>IF(R73="","",R73)</f>
        <v>MagFan — 600 RPM</v>
      </c>
      <c r="C136" s="133"/>
      <c r="D136" s="135"/>
      <c r="E136" s="134">
        <f t="shared" si="43"/>
        <v>37.5</v>
      </c>
      <c r="F136" s="111">
        <f>IF(E136="","",IF($H$14&gt;3.65,W73,IF($H$14&gt;=3,V73, IF($H$14&gt;=2.25,U73,IF($H$14&gt;=1.5,T73,T73)))))</f>
        <v>46843</v>
      </c>
      <c r="G136" s="106">
        <f t="shared" si="51"/>
        <v>10</v>
      </c>
      <c r="H136" s="112">
        <f t="shared" si="58"/>
        <v>0</v>
      </c>
      <c r="I136" s="113">
        <f t="shared" si="44"/>
        <v>468400</v>
      </c>
      <c r="J136" s="114">
        <f>+IF(X73="","",IF(H136&gt;0,ROUND((H136*(($U73)/(($X73)))/1000),1),ROUND((G136*(($U73)/(($X73)))/1000),1)))</f>
        <v>9.6</v>
      </c>
      <c r="K136" s="107">
        <f>+IF(X73="","",IF(H136&gt;0,ROUND((H136*(($U73)/(($X73)))/1000*$H$13*$H$11),-1),ROUND((G136*(($U73)/(($X73)))/1000*$H$13*$H$11),-1)))+Z136</f>
        <v>6623.6</v>
      </c>
      <c r="L136" s="115">
        <f t="shared" si="45"/>
        <v>3.74</v>
      </c>
      <c r="M136" s="116">
        <f t="shared" si="46"/>
        <v>9.7160871904000015</v>
      </c>
      <c r="N136" s="76"/>
      <c r="O136" s="76"/>
      <c r="P136" s="76"/>
      <c r="Q136" s="76"/>
      <c r="R136" s="108">
        <f t="shared" si="52"/>
        <v>73.38874307378245</v>
      </c>
      <c r="S136" s="117">
        <f t="shared" si="53"/>
        <v>1564.4560000000001</v>
      </c>
      <c r="T136" s="118">
        <f t="shared" si="54"/>
        <v>2955.6039999999998</v>
      </c>
      <c r="U136" s="109">
        <f t="shared" si="42"/>
        <v>18950</v>
      </c>
      <c r="V136" s="119">
        <f t="shared" si="55"/>
        <v>33118</v>
      </c>
      <c r="W136" s="120">
        <f t="shared" si="47"/>
        <v>52068</v>
      </c>
      <c r="X136" s="121">
        <f t="shared" si="48"/>
        <v>66236</v>
      </c>
      <c r="Y136" s="122">
        <f t="shared" si="49"/>
        <v>85186</v>
      </c>
      <c r="Z136" s="123">
        <f t="shared" si="56"/>
        <v>633.59999999999991</v>
      </c>
      <c r="AA136" s="142">
        <f t="shared" si="57"/>
        <v>6335.9999999999991</v>
      </c>
      <c r="AB136" s="292"/>
      <c r="AC136" s="290">
        <f>+IF(X73="","",IF(X73&gt;=37.38,4,IF(X73&gt;=35.68,3,IF(X73&gt;=33.98,2,IF(X73&gt;=32.28,1,0)))))</f>
        <v>4</v>
      </c>
      <c r="AD136" s="290">
        <f>+IF(OR(W73="",T73=""),"",IF(N136&gt;0.82,4,IF(N136&gt;0.77,3,IF(N136&gt;0.72,2,IF(N136&gt;=0.7,1,0)))))</f>
        <v>0</v>
      </c>
      <c r="AE136" s="290">
        <f t="shared" si="37"/>
        <v>438479.99999999994</v>
      </c>
      <c r="AF136" s="290">
        <f t="shared" si="50"/>
        <v>438479.99999999994</v>
      </c>
      <c r="AG136" s="293">
        <f>IF($H$14&gt;3.556,V73,IF($H$14&gt;=3.048,U73, IF($H$14&gt;=2.286,T73,IF($H$14&gt;=1.524,T73,T73))))</f>
        <v>50330</v>
      </c>
      <c r="AH136" s="198"/>
    </row>
    <row r="137" spans="2:34" ht="15.75" customHeight="1" x14ac:dyDescent="0.25">
      <c r="B137" s="131" t="str">
        <f>IF(R72="","",R72)</f>
        <v>MagFan — 582 RPM</v>
      </c>
      <c r="C137" s="133"/>
      <c r="D137" s="135"/>
      <c r="E137" s="134">
        <f t="shared" si="43"/>
        <v>37.5</v>
      </c>
      <c r="F137" s="111">
        <f>IF(E137="","",IF($H$14&gt;3.65,W72,IF($H$14&gt;=3,V72, IF($H$14&gt;=2.25,U72,IF($H$14&gt;=1.5,T72,T72)))))</f>
        <v>45253</v>
      </c>
      <c r="G137" s="106">
        <f t="shared" si="51"/>
        <v>10</v>
      </c>
      <c r="H137" s="112">
        <f t="shared" si="58"/>
        <v>0</v>
      </c>
      <c r="I137" s="113">
        <f t="shared" si="44"/>
        <v>452500</v>
      </c>
      <c r="J137" s="114">
        <f>+IF(X72="","",IF(H137&gt;0,ROUND((H137*(($U72)/(($X72)))/1000),1),ROUND((G137*(($U72)/(($X72)))/1000),1)))</f>
        <v>8.9</v>
      </c>
      <c r="K137" s="107">
        <f>+IF(X72="","",IF(H137&gt;0,ROUND((H137*(($U72)/(($X72)))/1000*$H$13*$H$11),-1),ROUND((G137*(($U72)/(($X72)))/1000*$H$13*$H$11),-1)))+Z137</f>
        <v>6187.4</v>
      </c>
      <c r="L137" s="115">
        <f t="shared" si="45"/>
        <v>3.61</v>
      </c>
      <c r="M137" s="116">
        <f t="shared" si="46"/>
        <v>9.7160871904000015</v>
      </c>
      <c r="N137" s="76"/>
      <c r="O137" s="76"/>
      <c r="P137" s="76"/>
      <c r="Q137" s="76"/>
      <c r="R137" s="108">
        <f t="shared" si="52"/>
        <v>70.307669874599014</v>
      </c>
      <c r="S137" s="117">
        <f t="shared" si="53"/>
        <v>1511.3500000000001</v>
      </c>
      <c r="T137" s="118">
        <f t="shared" si="54"/>
        <v>2855.2749999999996</v>
      </c>
      <c r="U137" s="109">
        <f t="shared" si="42"/>
        <v>18950</v>
      </c>
      <c r="V137" s="119">
        <f t="shared" si="55"/>
        <v>30937</v>
      </c>
      <c r="W137" s="120">
        <f t="shared" si="47"/>
        <v>49887</v>
      </c>
      <c r="X137" s="121">
        <f t="shared" si="48"/>
        <v>61874</v>
      </c>
      <c r="Y137" s="122">
        <f t="shared" si="49"/>
        <v>80824</v>
      </c>
      <c r="Z137" s="123">
        <f t="shared" si="56"/>
        <v>587.40000000000009</v>
      </c>
      <c r="AA137" s="142">
        <f t="shared" si="57"/>
        <v>5874.0000000000009</v>
      </c>
      <c r="AB137" s="292"/>
      <c r="AC137" s="290">
        <f>+IF(X72="","",IF(X72&gt;=37.38,4,IF(X72&gt;=35.68,3,IF(X72&gt;=33.98,2,IF(X72&gt;=32.28,1,0)))))</f>
        <v>4</v>
      </c>
      <c r="AD137" s="290">
        <f>+IF(OR(W72="",T72=""),"",IF(N137&gt;0.82,4,IF(N137&gt;0.77,3,IF(N137&gt;0.72,2,IF(N137&gt;=0.7,1,0)))))</f>
        <v>0</v>
      </c>
      <c r="AE137" s="290">
        <f t="shared" si="37"/>
        <v>438479.99999999994</v>
      </c>
      <c r="AF137" s="290">
        <f t="shared" si="50"/>
        <v>438479.99999999994</v>
      </c>
      <c r="AG137" s="293">
        <f>IF($H$14&gt;3.556,V72,IF($H$14&gt;=3.048,U72, IF($H$14&gt;=2.286,T72,IF($H$14&gt;=1.524,T72,T72))))</f>
        <v>48217</v>
      </c>
      <c r="AH137" s="198"/>
    </row>
    <row r="138" spans="2:34" ht="15.75" customHeight="1" x14ac:dyDescent="0.25">
      <c r="B138" s="131" t="str">
        <f>IF(R71="","",R71)</f>
        <v>MagFan — 558 RPM</v>
      </c>
      <c r="C138" s="133"/>
      <c r="D138" s="135"/>
      <c r="E138" s="134">
        <f t="shared" si="43"/>
        <v>37.5</v>
      </c>
      <c r="F138" s="111">
        <f>IF(E138="","",IF($H$14&gt;3.65,W71,IF($H$14&gt;=3,V71, IF($H$14&gt;=2.25,U71,IF($H$14&gt;=1.5,T71,T71)))))</f>
        <v>41803</v>
      </c>
      <c r="G138" s="106">
        <f t="shared" si="51"/>
        <v>11</v>
      </c>
      <c r="H138" s="112">
        <f t="shared" si="58"/>
        <v>0</v>
      </c>
      <c r="I138" s="113">
        <f t="shared" si="44"/>
        <v>459800</v>
      </c>
      <c r="J138" s="114">
        <f>+IF(X71="","",IF(H138&gt;0,ROUND((H138*(($U71)/(($X71)))/1000),1),ROUND((G138*(($U71)/(($X71)))/1000),1)))</f>
        <v>8.8000000000000007</v>
      </c>
      <c r="K138" s="107">
        <f>+IF(X71="","",IF(H138&gt;0,ROUND((H138*(($U71)/(($X71)))/1000*$H$13*$H$11),-1),ROUND((G138*(($U71)/(($X71)))/1000*$H$13*$H$11),-1)))+Z138</f>
        <v>6080.8</v>
      </c>
      <c r="L138" s="115">
        <f t="shared" si="45"/>
        <v>3.67</v>
      </c>
      <c r="M138" s="116">
        <f t="shared" si="46"/>
        <v>9.7160871904000015</v>
      </c>
      <c r="N138" s="76"/>
      <c r="O138" s="76"/>
      <c r="P138" s="76"/>
      <c r="Q138" s="76"/>
      <c r="R138" s="108">
        <f t="shared" si="52"/>
        <v>73.163312919218427</v>
      </c>
      <c r="S138" s="117">
        <f t="shared" si="53"/>
        <v>1535.732</v>
      </c>
      <c r="T138" s="118">
        <f t="shared" si="54"/>
        <v>2901.3379999999997</v>
      </c>
      <c r="U138" s="109">
        <f t="shared" si="42"/>
        <v>20845</v>
      </c>
      <c r="V138" s="119">
        <f t="shared" si="55"/>
        <v>30404</v>
      </c>
      <c r="W138" s="120">
        <f t="shared" si="47"/>
        <v>51249</v>
      </c>
      <c r="X138" s="121">
        <f t="shared" si="48"/>
        <v>60808</v>
      </c>
      <c r="Y138" s="122">
        <f t="shared" si="49"/>
        <v>81653</v>
      </c>
      <c r="Z138" s="123">
        <f t="shared" si="56"/>
        <v>580.80000000000007</v>
      </c>
      <c r="AA138" s="142">
        <f t="shared" si="57"/>
        <v>5808.0000000000009</v>
      </c>
      <c r="AB138" s="292"/>
      <c r="AC138" s="290">
        <f>+IF(X71="","",IF(X71&gt;=37.38,4,IF(X71&gt;=35.68,3,IF(X71&gt;=33.98,2,IF(X71&gt;=32.28,1,0)))))</f>
        <v>4</v>
      </c>
      <c r="AD138" s="290">
        <f>+IF(OR(W71="",T71=""),"",IF(N138&gt;0.82,4,IF(N138&gt;0.77,3,IF(N138&gt;0.72,2,IF(N138&gt;=0.7,1,0)))))</f>
        <v>0</v>
      </c>
      <c r="AE138" s="290">
        <f t="shared" si="37"/>
        <v>438479.99999999994</v>
      </c>
      <c r="AF138" s="290">
        <f t="shared" si="50"/>
        <v>438479.99999999994</v>
      </c>
      <c r="AG138" s="293">
        <f>IF($H$14&gt;3.556,V71,IF($H$14&gt;=3.048,U71, IF($H$14&gt;=2.286,T71,IF($H$14&gt;=1.524,T71,T71))))</f>
        <v>45614</v>
      </c>
      <c r="AH138" s="198"/>
    </row>
    <row r="139" spans="2:34" ht="15.75" customHeight="1" x14ac:dyDescent="0.25">
      <c r="B139" s="131" t="str">
        <f>IF(R70="","",R70)</f>
        <v>MagFan — 534 RPM</v>
      </c>
      <c r="C139" s="133"/>
      <c r="D139" s="135"/>
      <c r="E139" s="134">
        <f t="shared" si="43"/>
        <v>37.5</v>
      </c>
      <c r="F139" s="111">
        <f>IF(E139="","",IF($H$14&gt;3.65,W70,IF($H$14&gt;=3,V70, IF($H$14&gt;=2.25,U70,IF($H$14&gt;=1.5,T70,T70)))))</f>
        <v>38479</v>
      </c>
      <c r="G139" s="106">
        <f t="shared" si="51"/>
        <v>12</v>
      </c>
      <c r="H139" s="112">
        <f t="shared" si="58"/>
        <v>0</v>
      </c>
      <c r="I139" s="113">
        <f t="shared" si="44"/>
        <v>461700</v>
      </c>
      <c r="J139" s="114">
        <f>+IF(X70="","",IF(H139&gt;0,ROUND((H139*(($U70)/(($X70)))/1000),1),ROUND((G139*(($U70)/(($X70)))/1000),1)))</f>
        <v>8.5</v>
      </c>
      <c r="K139" s="107">
        <f>+IF(X70="","",IF(H139&gt;0,ROUND((H139*(($U70)/(($X70)))/1000*$H$13*$H$11),-1),ROUND((G139*(($U70)/(($X70)))/1000*$H$13*$H$11),-1)))+Z139</f>
        <v>5911</v>
      </c>
      <c r="L139" s="115">
        <f t="shared" si="45"/>
        <v>3.69</v>
      </c>
      <c r="M139" s="116">
        <f t="shared" si="46"/>
        <v>9.7160871904000015</v>
      </c>
      <c r="N139" s="76"/>
      <c r="O139" s="76"/>
      <c r="P139" s="76"/>
      <c r="Q139" s="76"/>
      <c r="R139" s="108">
        <f t="shared" si="52"/>
        <v>74.586176727909006</v>
      </c>
      <c r="S139" s="117">
        <f t="shared" si="53"/>
        <v>1542.078</v>
      </c>
      <c r="T139" s="118">
        <f t="shared" si="54"/>
        <v>2913.3269999999998</v>
      </c>
      <c r="U139" s="109">
        <f t="shared" si="42"/>
        <v>22740</v>
      </c>
      <c r="V139" s="119">
        <f t="shared" si="55"/>
        <v>29555</v>
      </c>
      <c r="W139" s="120">
        <f t="shared" si="47"/>
        <v>52295</v>
      </c>
      <c r="X139" s="121">
        <f t="shared" si="48"/>
        <v>59110</v>
      </c>
      <c r="Y139" s="122">
        <f t="shared" si="49"/>
        <v>81850</v>
      </c>
      <c r="Z139" s="123">
        <f t="shared" si="56"/>
        <v>561</v>
      </c>
      <c r="AA139" s="142">
        <f t="shared" si="57"/>
        <v>5610</v>
      </c>
      <c r="AB139" s="292"/>
      <c r="AC139" s="290">
        <f>+IF(X70="","",IF(X70&gt;=37.38,4,IF(X70&gt;=35.68,3,IF(X70&gt;=33.98,2,IF(X70&gt;=32.28,1,0)))))</f>
        <v>4</v>
      </c>
      <c r="AD139" s="290">
        <f>+IF(OR(W70="",T70=""),"",IF(N139&gt;0.82,4,IF(N139&gt;0.77,3,IF(N139&gt;0.72,2,IF(N139&gt;=0.7,1,0)))))</f>
        <v>0</v>
      </c>
      <c r="AE139" s="290">
        <f t="shared" si="37"/>
        <v>438479.99999999994</v>
      </c>
      <c r="AF139" s="290">
        <f t="shared" si="50"/>
        <v>438479.99999999994</v>
      </c>
      <c r="AG139" s="293">
        <f>IF($H$14&gt;3.556,V70,IF($H$14&gt;=3.048,U70, IF($H$14&gt;=2.286,T70,IF($H$14&gt;=1.524,T70,T70))))</f>
        <v>42626</v>
      </c>
      <c r="AH139" s="198"/>
    </row>
    <row r="140" spans="2:34" ht="15.75" customHeight="1" x14ac:dyDescent="0.25">
      <c r="B140" s="131" t="str">
        <f>IF(R69="","",R69)</f>
        <v>MagFan — 516 RPM</v>
      </c>
      <c r="C140" s="133"/>
      <c r="D140" s="135"/>
      <c r="E140" s="134">
        <f t="shared" si="43"/>
        <v>37.5</v>
      </c>
      <c r="F140" s="111">
        <f>IF(E140="","",IF($H$14&gt;3.65,W69,IF($H$14&gt;=3,V69, IF($H$14&gt;=2.25,U69,IF($H$14&gt;=1.5,T69,T69)))))</f>
        <v>36160</v>
      </c>
      <c r="G140" s="106">
        <f t="shared" si="51"/>
        <v>13</v>
      </c>
      <c r="H140" s="112">
        <f t="shared" si="58"/>
        <v>0</v>
      </c>
      <c r="I140" s="113">
        <f t="shared" si="44"/>
        <v>470100</v>
      </c>
      <c r="J140" s="114">
        <f>+IF(X69="","",IF(H140&gt;0,ROUND((H140*(($U69)/(($X69)))/1000),1),ROUND((G140*(($U69)/(($X69)))/1000),1)))</f>
        <v>8.5</v>
      </c>
      <c r="K140" s="107">
        <f>+IF(X69="","",IF(H140&gt;0,ROUND((H140*(($U69)/(($X69)))/1000*$H$13*$H$11),-1),ROUND((G140*(($U69)/(($X69)))/1000*$H$13*$H$11),-1)))+Z140</f>
        <v>5911</v>
      </c>
      <c r="L140" s="115">
        <f t="shared" si="45"/>
        <v>3.75</v>
      </c>
      <c r="M140" s="116">
        <f t="shared" si="46"/>
        <v>9.7160871904000015</v>
      </c>
      <c r="N140" s="76"/>
      <c r="O140" s="76"/>
      <c r="P140" s="76"/>
      <c r="Q140" s="76"/>
      <c r="R140" s="108">
        <f t="shared" si="52"/>
        <v>76.837999416739578</v>
      </c>
      <c r="S140" s="117">
        <f t="shared" si="53"/>
        <v>1570.134</v>
      </c>
      <c r="T140" s="118">
        <f t="shared" si="54"/>
        <v>2966.3309999999997</v>
      </c>
      <c r="U140" s="109">
        <f t="shared" si="42"/>
        <v>24635</v>
      </c>
      <c r="V140" s="119">
        <f t="shared" si="55"/>
        <v>29555</v>
      </c>
      <c r="W140" s="120">
        <f t="shared" si="47"/>
        <v>54190</v>
      </c>
      <c r="X140" s="121">
        <f t="shared" si="48"/>
        <v>59110</v>
      </c>
      <c r="Y140" s="122">
        <f t="shared" si="49"/>
        <v>83745</v>
      </c>
      <c r="Z140" s="123">
        <f t="shared" si="56"/>
        <v>561</v>
      </c>
      <c r="AA140" s="142">
        <f t="shared" si="57"/>
        <v>5610</v>
      </c>
      <c r="AB140" s="292"/>
      <c r="AC140" s="290">
        <f>+IF(X69="","",IF(X69&gt;=37.38,4,IF(X69&gt;=35.68,3,IF(X69&gt;=33.98,2,IF(X69&gt;=32.28,1,0)))))</f>
        <v>4</v>
      </c>
      <c r="AD140" s="290">
        <f>+IF(OR(W69="",T69=""),"",IF(N140&gt;0.82,4,IF(N140&gt;0.77,3,IF(N140&gt;0.72,2,IF(N140&gt;=0.7,1,0)))))</f>
        <v>0</v>
      </c>
      <c r="AE140" s="290">
        <f t="shared" si="37"/>
        <v>438479.99999999994</v>
      </c>
      <c r="AF140" s="290">
        <f t="shared" si="50"/>
        <v>438479.99999999994</v>
      </c>
      <c r="AG140" s="293">
        <f>IF($H$14&gt;3.556,V69,IF($H$14&gt;=3.048,U69, IF($H$14&gt;=2.286,T69,IF($H$14&gt;=1.524,T69,T69))))</f>
        <v>40535</v>
      </c>
      <c r="AH140" s="198"/>
    </row>
    <row r="141" spans="2:34" s="266" customFormat="1" ht="15.75" customHeight="1" x14ac:dyDescent="0.25">
      <c r="B141" s="243" t="str">
        <f>IF(R68="","",R68)</f>
        <v>MagFan — 492 RPM</v>
      </c>
      <c r="C141" s="244"/>
      <c r="D141" s="245"/>
      <c r="E141" s="246">
        <f t="shared" si="43"/>
        <v>37.5</v>
      </c>
      <c r="F141" s="247">
        <f>IF(E141="","",IF($H$14&gt;3.65,W68,IF($H$14&gt;=3,V68, IF($H$14&gt;=2.25,U68,IF($H$14&gt;=1.5,T68,T68)))))</f>
        <v>32810</v>
      </c>
      <c r="G141" s="248">
        <f t="shared" si="51"/>
        <v>14</v>
      </c>
      <c r="H141" s="249">
        <f t="shared" si="58"/>
        <v>0</v>
      </c>
      <c r="I141" s="250">
        <f t="shared" si="44"/>
        <v>459300</v>
      </c>
      <c r="J141" s="251">
        <f>+IF(X68="","",IF(H141&gt;0,ROUND((H141*(($U68)/(($X68)))/1000),1),ROUND((G141*(($U68)/(($X68)))/1000),1)))</f>
        <v>8.1</v>
      </c>
      <c r="K141" s="252">
        <f>+IF(X68="","",IF(H141&gt;0,ROUND((H141*(($U68)/(($X68)))/1000*$H$13*$H$11),-1),ROUND((G141*(($U68)/(($X68)))/1000*$H$13*$H$11),-1)))+Z141</f>
        <v>5604.6</v>
      </c>
      <c r="L141" s="253">
        <f t="shared" si="45"/>
        <v>3.67</v>
      </c>
      <c r="M141" s="254">
        <f t="shared" si="46"/>
        <v>9.7160871904000015</v>
      </c>
      <c r="N141" s="255"/>
      <c r="O141" s="255"/>
      <c r="P141" s="255"/>
      <c r="Q141" s="255"/>
      <c r="R141" s="256">
        <f t="shared" si="52"/>
        <v>76.114027413240009</v>
      </c>
      <c r="S141" s="257">
        <f t="shared" si="53"/>
        <v>1534.0620000000001</v>
      </c>
      <c r="T141" s="258">
        <f t="shared" si="54"/>
        <v>2898.183</v>
      </c>
      <c r="U141" s="259">
        <f t="shared" si="42"/>
        <v>26530</v>
      </c>
      <c r="V141" s="260">
        <f t="shared" si="55"/>
        <v>28023</v>
      </c>
      <c r="W141" s="261">
        <f t="shared" si="47"/>
        <v>54553</v>
      </c>
      <c r="X141" s="262">
        <f t="shared" si="48"/>
        <v>56046</v>
      </c>
      <c r="Y141" s="263">
        <f t="shared" si="49"/>
        <v>82576</v>
      </c>
      <c r="Z141" s="264">
        <f t="shared" si="56"/>
        <v>534.59999999999991</v>
      </c>
      <c r="AA141" s="289">
        <f t="shared" si="57"/>
        <v>5345.9999999999991</v>
      </c>
      <c r="AB141" s="294"/>
      <c r="AC141" s="291">
        <f>+IF(X68="","",IF(X68&gt;=37.38,4,IF(X68&gt;=35.68,3,IF(X68&gt;=33.98,2,IF(X68&gt;=32.28,1,0)))))</f>
        <v>4</v>
      </c>
      <c r="AD141" s="291">
        <f>+IF(OR(W68="",T68=""),"",IF(N141&gt;0.82,4,IF(N141&gt;0.77,3,IF(N141&gt;0.72,2,IF(N141&gt;=0.7,1,0)))))</f>
        <v>0</v>
      </c>
      <c r="AE141" s="291">
        <f t="shared" si="37"/>
        <v>438479.99999999994</v>
      </c>
      <c r="AF141" s="291">
        <f t="shared" si="50"/>
        <v>438479.99999999994</v>
      </c>
      <c r="AG141" s="295">
        <f>IF($H$14&gt;3.556,V68,IF($H$14&gt;=3.048,U68, IF($H$14&gt;=2.286,T68,IF($H$14&gt;=1.524,T68,T68))))</f>
        <v>37285</v>
      </c>
      <c r="AH141" s="265"/>
    </row>
    <row r="142" spans="2:34" s="266" customFormat="1" ht="15.75" customHeight="1" x14ac:dyDescent="0.25">
      <c r="B142" s="243" t="str">
        <f>IF(R67="","",R67)</f>
        <v>MagFan — 474 RPM</v>
      </c>
      <c r="C142" s="244"/>
      <c r="D142" s="245"/>
      <c r="E142" s="246">
        <f t="shared" si="43"/>
        <v>37.5</v>
      </c>
      <c r="F142" s="247">
        <f>IF(E142="","",IF($H$14&gt;3.65,W67,IF($H$14&gt;=3,V67, IF($H$14&gt;=2.25,U67,IF($H$14&gt;=1.5,T67,T67)))))</f>
        <v>30008</v>
      </c>
      <c r="G142" s="248">
        <f t="shared" si="51"/>
        <v>15</v>
      </c>
      <c r="H142" s="249">
        <f t="shared" si="58"/>
        <v>0</v>
      </c>
      <c r="I142" s="250">
        <f t="shared" si="44"/>
        <v>450100</v>
      </c>
      <c r="J142" s="251">
        <f>+IF(X67="","",IF(H142&gt;0,ROUND((H142*(($U67)/(($X67)))/1000),1),ROUND((G142*(($U67)/(($X67)))/1000),1)))</f>
        <v>7.8</v>
      </c>
      <c r="K142" s="252">
        <f>+IF(X67="","",IF(H142&gt;0,ROUND((H142*(($U67)/(($X67)))/1000*$H$13*$H$11),-1),ROUND((G142*(($U67)/(($X67)))/1000*$H$13*$H$11),-1)))+Z142</f>
        <v>5414.8</v>
      </c>
      <c r="L142" s="253">
        <f t="shared" si="45"/>
        <v>3.59</v>
      </c>
      <c r="M142" s="254">
        <f t="shared" si="46"/>
        <v>9.7160871904000015</v>
      </c>
      <c r="N142" s="255"/>
      <c r="O142" s="255"/>
      <c r="P142" s="255"/>
      <c r="Q142" s="255"/>
      <c r="R142" s="256">
        <f t="shared" si="52"/>
        <v>76.964129483814517</v>
      </c>
      <c r="S142" s="257">
        <f t="shared" si="53"/>
        <v>1503.3340000000001</v>
      </c>
      <c r="T142" s="258">
        <f t="shared" si="54"/>
        <v>2840.1309999999999</v>
      </c>
      <c r="U142" s="259">
        <f t="shared" si="42"/>
        <v>28425</v>
      </c>
      <c r="V142" s="260">
        <f t="shared" si="55"/>
        <v>27074</v>
      </c>
      <c r="W142" s="261">
        <f t="shared" si="47"/>
        <v>55499</v>
      </c>
      <c r="X142" s="262">
        <f t="shared" si="48"/>
        <v>54148</v>
      </c>
      <c r="Y142" s="263">
        <f t="shared" si="49"/>
        <v>82573</v>
      </c>
      <c r="Z142" s="264">
        <f t="shared" si="56"/>
        <v>514.79999999999995</v>
      </c>
      <c r="AA142" s="289">
        <f t="shared" si="57"/>
        <v>5148</v>
      </c>
      <c r="AB142" s="294"/>
      <c r="AC142" s="291">
        <f>+IF(X67="","",IF(X67&gt;=37.38,4,IF(X67&gt;=35.68,3,IF(X67&gt;=33.98,2,IF(X67&gt;=32.28,1,0)))))</f>
        <v>4</v>
      </c>
      <c r="AD142" s="291">
        <f>+IF(OR(W67="",T67=""),"",IF(N142&gt;0.82,4,IF(N142&gt;0.77,3,IF(N142&gt;0.72,2,IF(N142&gt;=0.7,1,0)))))</f>
        <v>0</v>
      </c>
      <c r="AE142" s="291">
        <f t="shared" si="37"/>
        <v>438479.99999999994</v>
      </c>
      <c r="AF142" s="291">
        <f t="shared" si="50"/>
        <v>438479.99999999994</v>
      </c>
      <c r="AG142" s="295">
        <f>IF($H$14&gt;3.556,V67,IF($H$14&gt;=3.048,U67, IF($H$14&gt;=2.286,T67,IF($H$14&gt;=1.524,T67,T67))))</f>
        <v>35188</v>
      </c>
      <c r="AH142" s="265"/>
    </row>
    <row r="143" spans="2:34" s="266" customFormat="1" ht="15.75" customHeight="1" x14ac:dyDescent="0.25">
      <c r="B143" s="243" t="str">
        <f>IF(R66="","",R66)</f>
        <v>MagFan — 456 RPM</v>
      </c>
      <c r="C143" s="244"/>
      <c r="D143" s="245"/>
      <c r="E143" s="246">
        <f t="shared" si="43"/>
        <v>37.5</v>
      </c>
      <c r="F143" s="247">
        <f>IF(E143="","",IF($H$14&gt;3.65,W66,IF($H$14&gt;=3,V66, IF($H$14&gt;=2.25,U66,IF($H$14&gt;=1.5,T66,T66)))))</f>
        <v>26917</v>
      </c>
      <c r="G143" s="248">
        <f t="shared" si="51"/>
        <v>17</v>
      </c>
      <c r="H143" s="249">
        <f t="shared" si="58"/>
        <v>0</v>
      </c>
      <c r="I143" s="250">
        <f t="shared" si="44"/>
        <v>457600</v>
      </c>
      <c r="J143" s="251">
        <f>+IF(X66="","",IF(H143&gt;0,ROUND((H143*(($U66)/(($X66)))/1000),1),ROUND((G143*(($U66)/(($X66)))/1000),1)))</f>
        <v>8</v>
      </c>
      <c r="K143" s="252">
        <f>+IF(X66="","",IF(H143&gt;0,ROUND((H143*(($U66)/(($X66)))/1000*$H$13*$H$11),-1),ROUND((G143*(($U66)/(($X66)))/1000*$H$13*$H$11),-1)))+Z143</f>
        <v>5548</v>
      </c>
      <c r="L143" s="253">
        <f t="shared" si="45"/>
        <v>3.65</v>
      </c>
      <c r="M143" s="254">
        <f t="shared" si="46"/>
        <v>9.7160871904000015</v>
      </c>
      <c r="N143" s="255"/>
      <c r="O143" s="255"/>
      <c r="P143" s="255"/>
      <c r="Q143" s="255"/>
      <c r="R143" s="256">
        <f t="shared" si="52"/>
        <v>81.046223388743073</v>
      </c>
      <c r="S143" s="257">
        <f t="shared" si="53"/>
        <v>1528.384</v>
      </c>
      <c r="T143" s="258">
        <f t="shared" si="54"/>
        <v>2887.4559999999997</v>
      </c>
      <c r="U143" s="259">
        <f t="shared" si="42"/>
        <v>32215</v>
      </c>
      <c r="V143" s="260">
        <f t="shared" si="55"/>
        <v>27740</v>
      </c>
      <c r="W143" s="261">
        <f t="shared" si="47"/>
        <v>59955</v>
      </c>
      <c r="X143" s="262">
        <f t="shared" si="48"/>
        <v>55480</v>
      </c>
      <c r="Y143" s="263">
        <f t="shared" si="49"/>
        <v>87695</v>
      </c>
      <c r="Z143" s="264">
        <f t="shared" si="56"/>
        <v>528</v>
      </c>
      <c r="AA143" s="289">
        <f t="shared" si="57"/>
        <v>5280</v>
      </c>
      <c r="AB143" s="294"/>
      <c r="AC143" s="291">
        <f>+IF(X66="","",IF(X66&gt;=37.38,4,IF(X66&gt;=35.68,3,IF(X66&gt;=33.98,2,IF(X66&gt;=32.28,1,0)))))</f>
        <v>4</v>
      </c>
      <c r="AD143" s="291">
        <f>+IF(OR(W66="",T66=""),"",IF(N143&gt;0.82,4,IF(N143&gt;0.77,3,IF(N143&gt;0.72,2,IF(N143&gt;=0.7,1,0)))))</f>
        <v>0</v>
      </c>
      <c r="AE143" s="291">
        <f t="shared" si="37"/>
        <v>438479.99999999994</v>
      </c>
      <c r="AF143" s="291">
        <f t="shared" si="50"/>
        <v>438479.99999999994</v>
      </c>
      <c r="AG143" s="295">
        <f>IF($H$14&gt;3.556,V66,IF($H$14&gt;=3.048,U66, IF($H$14&gt;=2.286,T66,IF($H$14&gt;=1.524,T66,T66))))</f>
        <v>32695</v>
      </c>
      <c r="AH143" s="265"/>
    </row>
    <row r="144" spans="2:34" s="266" customFormat="1" ht="15.75" customHeight="1" x14ac:dyDescent="0.25">
      <c r="B144" s="243" t="str">
        <f>IF(R65="","",R65)</f>
        <v>MagFan — 426 RPM</v>
      </c>
      <c r="C144" s="244"/>
      <c r="D144" s="245"/>
      <c r="E144" s="246">
        <f t="shared" si="43"/>
        <v>37.5</v>
      </c>
      <c r="F144" s="247">
        <f>IF(E144="","",IF($H$14&gt;3.65,W65,IF($H$14&gt;=3,V65, IF($H$14&gt;=2.25,U65,IF($H$14&gt;=1.5,T65,T65)))))</f>
        <v>20897.845600000001</v>
      </c>
      <c r="G144" s="248">
        <f t="shared" si="51"/>
        <v>21</v>
      </c>
      <c r="H144" s="249">
        <f t="shared" si="58"/>
        <v>0</v>
      </c>
      <c r="I144" s="250">
        <f t="shared" si="44"/>
        <v>438900</v>
      </c>
      <c r="J144" s="251">
        <f>+IF(X65="","",IF(H144&gt;0,ROUND((H144*(($U65)/(($X65)))/1000),1),ROUND((G144*(($U65)/(($X65)))/1000),1)))</f>
        <v>8.3000000000000007</v>
      </c>
      <c r="K144" s="252">
        <f>+IF(X65="","",IF(H144&gt;0,ROUND((H144*(($U65)/(($X65)))/1000*$H$13*$H$11),-1),ROUND((G144*(($U65)/(($X65)))/1000*$H$13*$H$11),-1)))+Z144</f>
        <v>5767.8</v>
      </c>
      <c r="L144" s="253">
        <f t="shared" si="45"/>
        <v>3.5</v>
      </c>
      <c r="M144" s="254">
        <f t="shared" si="46"/>
        <v>9.7160871904000015</v>
      </c>
      <c r="N144" s="255"/>
      <c r="O144" s="255"/>
      <c r="P144" s="255"/>
      <c r="Q144" s="255"/>
      <c r="R144" s="256">
        <f t="shared" si="52"/>
        <v>87.695975503062115</v>
      </c>
      <c r="S144" s="257">
        <f t="shared" si="53"/>
        <v>1465.9259999999999</v>
      </c>
      <c r="T144" s="258">
        <f t="shared" si="54"/>
        <v>2769.4589999999998</v>
      </c>
      <c r="U144" s="259">
        <f t="shared" si="42"/>
        <v>39795</v>
      </c>
      <c r="V144" s="260">
        <f t="shared" si="55"/>
        <v>28839</v>
      </c>
      <c r="W144" s="261">
        <f t="shared" si="47"/>
        <v>68634</v>
      </c>
      <c r="X144" s="262">
        <f t="shared" si="48"/>
        <v>57678</v>
      </c>
      <c r="Y144" s="263">
        <f t="shared" si="49"/>
        <v>97473</v>
      </c>
      <c r="Z144" s="264">
        <f t="shared" si="56"/>
        <v>547.80000000000007</v>
      </c>
      <c r="AA144" s="289">
        <f t="shared" si="57"/>
        <v>5478.0000000000009</v>
      </c>
      <c r="AB144" s="294"/>
      <c r="AC144" s="291">
        <f>+IF(X65="","",IF(X65&gt;=37.38,4,IF(X65&gt;=35.68,3,IF(X65&gt;=33.98,2,IF(X65&gt;=32.28,1,0)))))</f>
        <v>4</v>
      </c>
      <c r="AD144" s="291">
        <f>+IF(OR(W65="",T65=""),"",IF(N144&gt;0.82,4,IF(N144&gt;0.77,3,IF(N144&gt;0.72,2,IF(N144&gt;=0.7,1,0)))))</f>
        <v>0</v>
      </c>
      <c r="AE144" s="291">
        <f t="shared" si="37"/>
        <v>438479.99999999994</v>
      </c>
      <c r="AF144" s="291">
        <f t="shared" si="50"/>
        <v>438479.99999999994</v>
      </c>
      <c r="AG144" s="295">
        <f>IF($H$14&gt;3.556,V65,IF($H$14&gt;=3.048,U65, IF($H$14&gt;=2.286,T65,IF($H$14&gt;=1.524,T65,T65))))</f>
        <v>28639</v>
      </c>
      <c r="AH144" s="265"/>
    </row>
    <row r="145" spans="2:34" s="266" customFormat="1" ht="15.75" customHeight="1" x14ac:dyDescent="0.25">
      <c r="B145" s="243" t="str">
        <f>IF(R64="","",R64)</f>
        <v>MagFan — 402 RPM</v>
      </c>
      <c r="C145" s="244"/>
      <c r="D145" s="245"/>
      <c r="E145" s="246">
        <f t="shared" si="43"/>
        <v>37.5</v>
      </c>
      <c r="F145" s="247">
        <f>IF(E145="","",IF($H$14&gt;3.65,W64,IF($H$14&gt;=3,V64, IF($H$14&gt;=2.25,U64,IF($H$14&gt;=1.5,T64,T64)))))</f>
        <v>15702.2477</v>
      </c>
      <c r="G145" s="248">
        <f t="shared" si="51"/>
        <v>28</v>
      </c>
      <c r="H145" s="249">
        <f t="shared" si="58"/>
        <v>0</v>
      </c>
      <c r="I145" s="250">
        <f t="shared" si="44"/>
        <v>439700</v>
      </c>
      <c r="J145" s="251">
        <f>+IF(X64="","",IF(H145&gt;0,ROUND((H145*(($U64)/(($X64)))/1000),1),ROUND((G145*(($U64)/(($X64)))/1000),1)))</f>
        <v>9.5</v>
      </c>
      <c r="K145" s="252">
        <f>+IF(X64="","",IF(H145&gt;0,ROUND((H145*(($U64)/(($X64)))/1000*$H$13*$H$11),-1),ROUND((G145*(($U64)/(($X64)))/1000*$H$13*$H$11),-1)))+Z145</f>
        <v>6597</v>
      </c>
      <c r="L145" s="253">
        <f t="shared" si="45"/>
        <v>3.51</v>
      </c>
      <c r="M145" s="254">
        <f t="shared" si="46"/>
        <v>9.7160871904000015</v>
      </c>
      <c r="N145" s="255"/>
      <c r="O145" s="255"/>
      <c r="P145" s="255"/>
      <c r="Q145" s="255"/>
      <c r="R145" s="256">
        <f t="shared" si="52"/>
        <v>101.67862350539517</v>
      </c>
      <c r="S145" s="257">
        <f t="shared" si="53"/>
        <v>1468.598</v>
      </c>
      <c r="T145" s="258">
        <f t="shared" si="54"/>
        <v>2774.5070000000001</v>
      </c>
      <c r="U145" s="259">
        <f t="shared" si="42"/>
        <v>53060</v>
      </c>
      <c r="V145" s="260">
        <f t="shared" si="55"/>
        <v>32985</v>
      </c>
      <c r="W145" s="261">
        <f t="shared" si="47"/>
        <v>86045</v>
      </c>
      <c r="X145" s="262">
        <f t="shared" si="48"/>
        <v>65970</v>
      </c>
      <c r="Y145" s="263">
        <f t="shared" si="49"/>
        <v>119030</v>
      </c>
      <c r="Z145" s="264">
        <f t="shared" si="56"/>
        <v>627</v>
      </c>
      <c r="AA145" s="289">
        <f t="shared" si="57"/>
        <v>6270</v>
      </c>
      <c r="AB145" s="294"/>
      <c r="AC145" s="291">
        <f>+IF(X64="","",IF(X64&gt;=37.38,4,IF(X64&gt;=35.68,3,IF(X64&gt;=33.98,2,IF(X64&gt;=32.28,1,0)))))</f>
        <v>4</v>
      </c>
      <c r="AD145" s="291">
        <f>+IF(OR(W64="",T64=""),"",IF(N145&gt;0.82,4,IF(N145&gt;0.77,3,IF(N145&gt;0.72,2,IF(N145&gt;=0.7,1,0)))))</f>
        <v>0</v>
      </c>
      <c r="AE145" s="291">
        <f t="shared" si="37"/>
        <v>438479.99999999994</v>
      </c>
      <c r="AF145" s="291">
        <f t="shared" si="50"/>
        <v>438479.99999999994</v>
      </c>
      <c r="AG145" s="295">
        <f>IF($H$14&gt;3.556,V64,IF($H$14&gt;=3.048,U64, IF($H$14&gt;=2.286,T64,IF($H$14&gt;=1.524,T64,T64))))</f>
        <v>24904</v>
      </c>
      <c r="AH145" s="265"/>
    </row>
    <row r="146" spans="2:34" s="266" customFormat="1" ht="15.75" customHeight="1" x14ac:dyDescent="0.25">
      <c r="B146" s="243" t="str">
        <f>IF(R63="","",R63)</f>
        <v>MagFan — 378 RPM</v>
      </c>
      <c r="C146" s="244"/>
      <c r="D146" s="245"/>
      <c r="E146" s="246">
        <f t="shared" si="43"/>
        <v>37.5</v>
      </c>
      <c r="F146" s="247">
        <f>IF(E146="","",IF($H$14&gt;3.65,W63,IF($H$14&gt;=3,V63, IF($H$14&gt;=2.25,U63,IF($H$14&gt;=1.5,T63,T63)))))</f>
        <v>15468.970099999999</v>
      </c>
      <c r="G146" s="248">
        <f t="shared" si="51"/>
        <v>29</v>
      </c>
      <c r="H146" s="249">
        <f t="shared" si="58"/>
        <v>0</v>
      </c>
      <c r="I146" s="250">
        <f t="shared" si="44"/>
        <v>448600</v>
      </c>
      <c r="J146" s="251">
        <f>+IF(X63="","",IF(H146&gt;0,ROUND((H146*(($U63)/(($X63)))/1000),1),ROUND((G146*(($U63)/(($X63)))/1000),1)))</f>
        <v>8.4</v>
      </c>
      <c r="K146" s="252">
        <f>+IF(X63="","",IF(H146&gt;0,ROUND((H146*(($U63)/(($X63)))/1000*$H$13*$H$11),-1),ROUND((G146*(($U63)/(($X63)))/1000*$H$13*$H$11),-1)))+Z146</f>
        <v>5824.4</v>
      </c>
      <c r="L146" s="253">
        <f t="shared" si="45"/>
        <v>3.58</v>
      </c>
      <c r="M146" s="254">
        <f t="shared" si="46"/>
        <v>9.7160871904000015</v>
      </c>
      <c r="N146" s="255"/>
      <c r="O146" s="255"/>
      <c r="P146" s="255"/>
      <c r="Q146" s="255"/>
      <c r="R146" s="256">
        <f t="shared" si="52"/>
        <v>90.031933508311468</v>
      </c>
      <c r="S146" s="257">
        <f t="shared" si="53"/>
        <v>1498.3240000000001</v>
      </c>
      <c r="T146" s="258">
        <f t="shared" si="54"/>
        <v>2830.6659999999997</v>
      </c>
      <c r="U146" s="259">
        <f t="shared" si="42"/>
        <v>54955</v>
      </c>
      <c r="V146" s="260">
        <f t="shared" si="55"/>
        <v>29122</v>
      </c>
      <c r="W146" s="261">
        <f t="shared" si="47"/>
        <v>84077</v>
      </c>
      <c r="X146" s="262">
        <f t="shared" si="48"/>
        <v>58244</v>
      </c>
      <c r="Y146" s="263">
        <f t="shared" si="49"/>
        <v>113199</v>
      </c>
      <c r="Z146" s="264">
        <f t="shared" si="56"/>
        <v>554.40000000000009</v>
      </c>
      <c r="AA146" s="289">
        <f t="shared" si="57"/>
        <v>5544.0000000000009</v>
      </c>
      <c r="AB146" s="294"/>
      <c r="AC146" s="291">
        <f>+IF(X63="","",IF(X63&gt;=37.38,4,IF(X63&gt;=35.68,3,IF(X63&gt;=33.98,2,IF(X63&gt;=32.28,1,0)))))</f>
        <v>4</v>
      </c>
      <c r="AD146" s="291">
        <f>+IF(OR(W63="",T63=""),"",IF(N146&gt;0.82,4,IF(N146&gt;0.77,3,IF(N146&gt;0.72,2,IF(N146&gt;=0.7,1,0)))))</f>
        <v>0</v>
      </c>
      <c r="AE146" s="291">
        <f t="shared" si="37"/>
        <v>438479.99999999994</v>
      </c>
      <c r="AF146" s="291">
        <f t="shared" si="50"/>
        <v>438479.99999999994</v>
      </c>
      <c r="AG146" s="295">
        <f>IF($H$14&gt;3.556,V63,IF($H$14&gt;=3.048,U63, IF($H$14&gt;=2.286,T63,IF($H$14&gt;=1.524,T63,T63))))</f>
        <v>21291</v>
      </c>
      <c r="AH146" s="265"/>
    </row>
    <row r="147" spans="2:34" s="266" customFormat="1" ht="15.75" customHeight="1" x14ac:dyDescent="0.25">
      <c r="B147" s="243" t="str">
        <f>IF(R80="","",R80)</f>
        <v>EBM Pabst— 300 RPM</v>
      </c>
      <c r="C147" s="244"/>
      <c r="D147" s="245"/>
      <c r="E147" s="246">
        <f t="shared" si="43"/>
        <v>37.5</v>
      </c>
      <c r="F147" s="247">
        <f>IF(E147="","",IF($H$14&gt;3.65,W80,IF($H$14&gt;=3,V80, IF($H$14&gt;=2.25,U80,IF($H$14&gt;=1.5,T80,T80)))))</f>
        <v>7258.130000000001</v>
      </c>
      <c r="G147" s="248">
        <f>+IF(R80="","",ROUNDUP(AF147/F147,0))</f>
        <v>61</v>
      </c>
      <c r="H147" s="249">
        <f t="shared" si="58"/>
        <v>0</v>
      </c>
      <c r="I147" s="250">
        <f t="shared" si="44"/>
        <v>442700</v>
      </c>
      <c r="J147" s="251">
        <f>+IF(X80="","",IF(H147&gt;0,ROUND((H147*(($U80)/(($X80)))/1000),1),ROUND((G147*(($U80)/(($X80)))/1000),1)))</f>
        <v>11.5</v>
      </c>
      <c r="K147" s="252">
        <f>+IF(X80="","",IF(H147&gt;0,ROUND((H147*(($U80)/(($X80)))/1000*$H$13*$H$11),-1),ROUND((G147*(($U80)/(($X80)))/1000*$H$13*$H$11),-1)))+Z147</f>
        <v>7949</v>
      </c>
      <c r="L147" s="253">
        <f t="shared" si="45"/>
        <v>3.53</v>
      </c>
      <c r="M147" s="254">
        <f t="shared" si="46"/>
        <v>9.7160871904000015</v>
      </c>
      <c r="N147" s="255"/>
      <c r="O147" s="255"/>
      <c r="P147" s="255"/>
      <c r="Q147" s="255"/>
      <c r="R147" s="256">
        <f t="shared" si="52"/>
        <v>116.29848352289297</v>
      </c>
      <c r="S147" s="257">
        <f t="shared" si="53"/>
        <v>1478.6179999999999</v>
      </c>
      <c r="T147" s="258">
        <f t="shared" si="54"/>
        <v>2793.4369999999999</v>
      </c>
      <c r="U147" s="259">
        <f t="shared" si="42"/>
        <v>115595</v>
      </c>
      <c r="V147" s="260">
        <f t="shared" si="55"/>
        <v>39745</v>
      </c>
      <c r="W147" s="261">
        <f t="shared" si="47"/>
        <v>155340</v>
      </c>
      <c r="X147" s="262">
        <f t="shared" si="48"/>
        <v>79490</v>
      </c>
      <c r="Y147" s="263">
        <f t="shared" si="49"/>
        <v>195085</v>
      </c>
      <c r="Z147" s="264">
        <f t="shared" si="56"/>
        <v>759</v>
      </c>
      <c r="AA147" s="289">
        <f t="shared" si="57"/>
        <v>7590</v>
      </c>
      <c r="AB147" s="294"/>
      <c r="AC147" s="291">
        <f>+IF(X80="","",IF(X80&gt;=37.38,4,IF(X80&gt;=35.68,3,IF(X80&gt;=33.98,2,IF(X80&gt;=32.28,1,0)))))</f>
        <v>4</v>
      </c>
      <c r="AD147" s="291">
        <f>+IF(OR(W80="",T80=""),"",IF(N147&gt;0.82,4,IF(N147&gt;0.77,3,IF(N147&gt;0.72,2,IF(N147&gt;=0.7,1,0)))))</f>
        <v>0</v>
      </c>
      <c r="AE147" s="291">
        <f t="shared" si="37"/>
        <v>438479.99999999994</v>
      </c>
      <c r="AF147" s="291">
        <f t="shared" si="50"/>
        <v>438479.99999999994</v>
      </c>
      <c r="AG147" s="295">
        <f>IF($H$14&gt;3.556,V80,IF($H$14&gt;=3.048,U80, IF($H$14&gt;=2.286,T80,IF($H$14&gt;=1.524,T80,T80))))</f>
        <v>13075</v>
      </c>
      <c r="AH147" s="265"/>
    </row>
    <row r="148" spans="2:34" s="266" customFormat="1" ht="15.75" customHeight="1" x14ac:dyDescent="0.25">
      <c r="B148" s="243" t="str">
        <f>IF(R81="","",R81)</f>
        <v>EBM Pabst— 400 RPM</v>
      </c>
      <c r="C148" s="244"/>
      <c r="D148" s="245"/>
      <c r="E148" s="246">
        <f t="shared" si="43"/>
        <v>37.5</v>
      </c>
      <c r="F148" s="247">
        <f>IF(E148="","",IF($H$14&gt;3.65,W81,IF($H$14&gt;=3,V81, IF($H$14&gt;=2.25,U81,IF($H$14&gt;=1.5,T81,T81)))))</f>
        <v>20883.8014</v>
      </c>
      <c r="G148" s="248">
        <f>+IF(R81="","",ROUNDUP(AF148/F148,0))</f>
        <v>21</v>
      </c>
      <c r="H148" s="249">
        <f t="shared" si="58"/>
        <v>0</v>
      </c>
      <c r="I148" s="250">
        <f t="shared" si="44"/>
        <v>438600</v>
      </c>
      <c r="J148" s="251">
        <f>+IF(X81="","",IF(H148&gt;0,ROUND((H148*(($U81)/(($X81)))/1000),1),ROUND((G148*(($U81)/(($X81)))/1000),1)))</f>
        <v>13.2</v>
      </c>
      <c r="K148" s="252">
        <f>+IF(X81="","",IF(H148&gt;0,ROUND((H148*(($U81)/(($X81)))/1000*$H$13*$H$11),-1),ROUND((G148*(($U81)/(($X81)))/1000*$H$13*$H$11),-1)))+Z148</f>
        <v>9161.2000000000007</v>
      </c>
      <c r="L148" s="253">
        <f t="shared" si="45"/>
        <v>3.5</v>
      </c>
      <c r="M148" s="254">
        <f t="shared" si="46"/>
        <v>9.7160871904000015</v>
      </c>
      <c r="N148" s="255"/>
      <c r="O148" s="255"/>
      <c r="P148" s="255"/>
      <c r="Q148" s="255"/>
      <c r="R148" s="256">
        <f t="shared" si="52"/>
        <v>83.724409448818903</v>
      </c>
      <c r="S148" s="257">
        <f t="shared" si="53"/>
        <v>1464.924</v>
      </c>
      <c r="T148" s="258">
        <f t="shared" si="54"/>
        <v>2767.5659999999998</v>
      </c>
      <c r="U148" s="259">
        <f t="shared" si="42"/>
        <v>39795</v>
      </c>
      <c r="V148" s="260">
        <f t="shared" si="55"/>
        <v>45806</v>
      </c>
      <c r="W148" s="261">
        <f t="shared" si="47"/>
        <v>85601</v>
      </c>
      <c r="X148" s="262">
        <f t="shared" si="48"/>
        <v>91612</v>
      </c>
      <c r="Y148" s="263">
        <f t="shared" si="49"/>
        <v>131407</v>
      </c>
      <c r="Z148" s="264">
        <f t="shared" si="56"/>
        <v>871.19999999999982</v>
      </c>
      <c r="AA148" s="289">
        <f t="shared" si="57"/>
        <v>8711.9999999999982</v>
      </c>
      <c r="AB148" s="294"/>
      <c r="AC148" s="291">
        <f>+IF(X81="","",IF(X81&gt;=37.38,4,IF(X81&gt;=35.68,3,IF(X81&gt;=33.98,2,IF(X81&gt;=32.28,1,0)))))</f>
        <v>4</v>
      </c>
      <c r="AD148" s="291">
        <f>+IF(OR(W81="",T81=""),"",IF(N148&gt;0.82,4,IF(N148&gt;0.77,3,IF(N148&gt;0.72,2,IF(N148&gt;=0.7,1,0)))))</f>
        <v>0</v>
      </c>
      <c r="AE148" s="291">
        <f t="shared" si="37"/>
        <v>438479.99999999994</v>
      </c>
      <c r="AF148" s="291">
        <f t="shared" si="50"/>
        <v>438479.99999999994</v>
      </c>
      <c r="AG148" s="295">
        <f>IF($H$14&gt;3.556,V81,IF($H$14&gt;=3.048,U81, IF($H$14&gt;=2.286,T81,IF($H$14&gt;=1.524,T81,T81))))</f>
        <v>27342</v>
      </c>
      <c r="AH148" s="265"/>
    </row>
    <row r="149" spans="2:34" s="266" customFormat="1" ht="15.75" customHeight="1" x14ac:dyDescent="0.25">
      <c r="B149" s="243" t="str">
        <f>IF(R82="","",R82)</f>
        <v>EBM Pabst— 500 RPM</v>
      </c>
      <c r="C149" s="244"/>
      <c r="D149" s="245"/>
      <c r="E149" s="246">
        <f t="shared" si="43"/>
        <v>37.5</v>
      </c>
      <c r="F149" s="247">
        <f>IF(E149="","",IF($H$14&gt;3.65,W82,IF($H$14&gt;=3,V82, IF($H$14&gt;=2.25,U82,IF($H$14&gt;=1.5,T82,T82)))))</f>
        <v>32987.768900000003</v>
      </c>
      <c r="G149" s="248">
        <f>+IF(R82="","",ROUNDUP(AF149/F149,0))</f>
        <v>14</v>
      </c>
      <c r="H149" s="249">
        <f t="shared" si="58"/>
        <v>0</v>
      </c>
      <c r="I149" s="250">
        <f t="shared" si="44"/>
        <v>461800</v>
      </c>
      <c r="J149" s="251">
        <f>+IF(X82="","",IF(H149&gt;0,ROUND((H149*(($U82)/(($X82)))/1000),1),ROUND((G149*(($U82)/(($X82)))/1000),1)))</f>
        <v>13.7</v>
      </c>
      <c r="K149" s="252">
        <f>+IF(X82="","",IF(H149&gt;0,ROUND((H149*(($U82)/(($X82)))/1000*$H$13*$H$11),-1),ROUND((G149*(($U82)/(($X82)))/1000*$H$13*$H$11),-1)))+Z149</f>
        <v>9494.2000000000007</v>
      </c>
      <c r="L149" s="253">
        <f t="shared" si="45"/>
        <v>3.69</v>
      </c>
      <c r="M149" s="254">
        <f t="shared" si="46"/>
        <v>9.7160871904000015</v>
      </c>
      <c r="N149" s="255"/>
      <c r="O149" s="255"/>
      <c r="P149" s="255"/>
      <c r="Q149" s="255"/>
      <c r="R149" s="256">
        <f t="shared" si="52"/>
        <v>71.60250801983085</v>
      </c>
      <c r="S149" s="257">
        <f t="shared" si="53"/>
        <v>1542.412</v>
      </c>
      <c r="T149" s="258">
        <f t="shared" si="54"/>
        <v>2913.9579999999996</v>
      </c>
      <c r="U149" s="259">
        <f t="shared" si="42"/>
        <v>26530</v>
      </c>
      <c r="V149" s="260">
        <f t="shared" si="55"/>
        <v>47471</v>
      </c>
      <c r="W149" s="261">
        <f t="shared" si="47"/>
        <v>74001</v>
      </c>
      <c r="X149" s="262">
        <f t="shared" si="48"/>
        <v>94942</v>
      </c>
      <c r="Y149" s="263">
        <f t="shared" si="49"/>
        <v>121472</v>
      </c>
      <c r="Z149" s="264">
        <f t="shared" si="56"/>
        <v>904.19999999999982</v>
      </c>
      <c r="AA149" s="289">
        <f t="shared" si="57"/>
        <v>9041.9999999999982</v>
      </c>
      <c r="AB149" s="294"/>
      <c r="AC149" s="291">
        <f>+IF(X82="","",IF(X82&gt;=37.38,4,IF(X82&gt;=35.68,3,IF(X82&gt;=33.98,2,IF(X82&gt;=32.28,1,0)))))</f>
        <v>3</v>
      </c>
      <c r="AD149" s="291">
        <f>+IF(OR(W82="",T82=""),"",IF(N149&gt;0.82,4,IF(N149&gt;0.77,3,IF(N149&gt;0.72,2,IF(N149&gt;=0.7,1,0)))))</f>
        <v>0</v>
      </c>
      <c r="AE149" s="291">
        <f t="shared" si="37"/>
        <v>438479.99999999994</v>
      </c>
      <c r="AF149" s="291">
        <f t="shared" si="50"/>
        <v>438479.99999999994</v>
      </c>
      <c r="AG149" s="295">
        <f>IF($H$14&gt;3.556,V82,IF($H$14&gt;=3.048,U82, IF($H$14&gt;=2.286,T82,IF($H$14&gt;=1.524,T82,T82))))</f>
        <v>35075</v>
      </c>
      <c r="AH149" s="265"/>
    </row>
    <row r="150" spans="2:34" ht="15.75" customHeight="1" x14ac:dyDescent="0.25">
      <c r="B150" s="131" t="str">
        <f>IF(R83="","",R83)</f>
        <v>EBM Pabst— 600 RPM</v>
      </c>
      <c r="C150" s="133"/>
      <c r="D150" s="135"/>
      <c r="E150" s="134">
        <f t="shared" si="43"/>
        <v>37.5</v>
      </c>
      <c r="F150" s="111">
        <f>IF(E150="","",IF($H$14&gt;3.65,W83,IF($H$14&gt;=3,V83, IF($H$14&gt;=2.25,U83,IF($H$14&gt;=1.5,T83,T83)))))</f>
        <v>41246</v>
      </c>
      <c r="G150" s="106">
        <f>+IF(R83="","",ROUNDUP(AF150/F150,0))</f>
        <v>11</v>
      </c>
      <c r="H150" s="112">
        <f>IF(H245="",0,H245)</f>
        <v>0</v>
      </c>
      <c r="I150" s="113">
        <f t="shared" si="44"/>
        <v>453700</v>
      </c>
      <c r="J150" s="114">
        <f>+IF(X83="","",IF(H150&gt;0,ROUND((H150*(($U83)/(($X83)))/1000),1),ROUND((G150*(($U83)/(($X83)))/1000),1)))</f>
        <v>19.8</v>
      </c>
      <c r="K150" s="107">
        <f>+IF(X83="","",IF(H150&gt;0,ROUND((H150*(($U83)/(($X83)))/1000*$H$13*$H$11),-1),ROUND((G150*(($U83)/(($X83)))/1000*$H$13*$H$11),-1)))+Z150</f>
        <v>13716.8</v>
      </c>
      <c r="L150" s="115">
        <f t="shared" si="45"/>
        <v>3.62</v>
      </c>
      <c r="M150" s="116">
        <f t="shared" si="46"/>
        <v>9.7160871904000015</v>
      </c>
      <c r="N150" s="76"/>
      <c r="O150" s="76"/>
      <c r="P150" s="76"/>
      <c r="Q150" s="76"/>
      <c r="R150" s="108">
        <f t="shared" si="52"/>
        <v>71.453484981044042</v>
      </c>
      <c r="S150" s="117">
        <f t="shared" si="53"/>
        <v>1515.3579999999999</v>
      </c>
      <c r="T150" s="118">
        <f t="shared" si="54"/>
        <v>2862.8469999999998</v>
      </c>
      <c r="U150" s="109">
        <f t="shared" si="42"/>
        <v>20845</v>
      </c>
      <c r="V150" s="119">
        <f t="shared" si="55"/>
        <v>68584</v>
      </c>
      <c r="W150" s="120">
        <f t="shared" si="47"/>
        <v>89429</v>
      </c>
      <c r="X150" s="121">
        <f t="shared" si="48"/>
        <v>137168</v>
      </c>
      <c r="Y150" s="122">
        <f t="shared" si="49"/>
        <v>158013</v>
      </c>
      <c r="Z150" s="123">
        <f t="shared" si="56"/>
        <v>1306.8000000000002</v>
      </c>
      <c r="AA150" s="142">
        <f t="shared" si="57"/>
        <v>13068.000000000002</v>
      </c>
      <c r="AB150" s="292"/>
      <c r="AC150" s="290">
        <f>+IF(X83="","",IF(X83&gt;=37.38,4,IF(X83&gt;=35.68,3,IF(X83&gt;=33.98,2,IF(X83&gt;=32.28,1,0)))))</f>
        <v>0</v>
      </c>
      <c r="AD150" s="290">
        <f>+IF(OR(W83="",T83=""),"",IF(N150&gt;0.82,4,IF(N150&gt;0.77,3,IF(N150&gt;0.72,2,IF(N150&gt;=0.7,1,0)))))</f>
        <v>0</v>
      </c>
      <c r="AE150" s="290">
        <f t="shared" si="37"/>
        <v>438479.99999999994</v>
      </c>
      <c r="AF150" s="290">
        <f t="shared" si="50"/>
        <v>438479.99999999994</v>
      </c>
      <c r="AG150" s="293">
        <f>IF($H$14&gt;3.556,V83,IF($H$14&gt;=3.048,U83, IF($H$14&gt;=2.286,T83,IF($H$14&gt;=1.524,T83,T83))))</f>
        <v>44548</v>
      </c>
      <c r="AH150" s="198"/>
    </row>
    <row r="151" spans="2:34" s="266" customFormat="1" ht="15.75" customHeight="1" x14ac:dyDescent="0.25">
      <c r="B151" s="243" t="str">
        <f t="shared" ref="B151:B157" si="59">IF(R86="","",R86)</f>
        <v>MultiFan— 300 RPM</v>
      </c>
      <c r="C151" s="244"/>
      <c r="D151" s="245"/>
      <c r="E151" s="246">
        <f t="shared" si="43"/>
        <v>37.5</v>
      </c>
      <c r="F151" s="247">
        <f t="shared" ref="F151:F157" si="60">IF(E151="","",IF($H$14&gt;3.65,W86,IF($H$14&gt;=3,V86, IF($H$14&gt;=2.25,U86,IF($H$14&gt;=1.5,T86,T86)))))</f>
        <v>7100</v>
      </c>
      <c r="G151" s="248">
        <f t="shared" ref="G151:G157" si="61">+IF(R86="","",ROUNDUP(AF151/F151,0))</f>
        <v>62</v>
      </c>
      <c r="H151" s="249">
        <f t="shared" si="58"/>
        <v>0</v>
      </c>
      <c r="I151" s="250">
        <f>+IF(F151="","",IF(H151&gt;0,ROUND(F151*H151,-2),ROUND(F151*G151,-2)))</f>
        <v>440200</v>
      </c>
      <c r="J151" s="251">
        <f t="shared" ref="J151:J157" si="62">+IF(X86="","",IF(H151&gt;0,ROUND((H151*(($U86)/(($X86)))/1000),1),ROUND((G151*(($U86)/(($X86)))/1000),1)))</f>
        <v>29.5</v>
      </c>
      <c r="K151" s="252">
        <f t="shared" ref="K151:K157" si="63">+IF(X86="","",IF(H151&gt;0,ROUND((H151*(($U86)/(($X86)))/1000*$H$13*$H$11),-1),ROUND((G151*(($U86)/(($X86)))/1000*$H$13*$H$11),-1)))+Z151</f>
        <v>20437</v>
      </c>
      <c r="L151" s="253">
        <f t="shared" si="45"/>
        <v>3.51</v>
      </c>
      <c r="M151" s="254">
        <f t="shared" si="46"/>
        <v>9.7160871904000015</v>
      </c>
      <c r="N151" s="255"/>
      <c r="O151" s="255"/>
      <c r="P151" s="255"/>
      <c r="Q151" s="255"/>
      <c r="R151" s="256">
        <f t="shared" si="52"/>
        <v>89.501312335958005</v>
      </c>
      <c r="S151" s="257">
        <f t="shared" si="53"/>
        <v>1470.268</v>
      </c>
      <c r="T151" s="258">
        <f t="shared" si="54"/>
        <v>2777.6619999999998</v>
      </c>
      <c r="U151" s="259">
        <f t="shared" si="42"/>
        <v>117490</v>
      </c>
      <c r="V151" s="260">
        <f t="shared" si="55"/>
        <v>102185</v>
      </c>
      <c r="W151" s="261">
        <f t="shared" si="47"/>
        <v>219675</v>
      </c>
      <c r="X151" s="262">
        <f t="shared" si="48"/>
        <v>204370</v>
      </c>
      <c r="Y151" s="263">
        <f t="shared" si="49"/>
        <v>321860</v>
      </c>
      <c r="Z151" s="264">
        <f t="shared" si="56"/>
        <v>1947</v>
      </c>
      <c r="AA151" s="289">
        <f t="shared" si="57"/>
        <v>19470</v>
      </c>
      <c r="AB151" s="294"/>
      <c r="AC151" s="291">
        <f t="shared" ref="AC151:AC157" si="64">+IF(X86="","",IF(X86&gt;=37.38,4,IF(X86&gt;=35.68,3,IF(X86&gt;=33.98,2,IF(X86&gt;=32.28,1,0)))))</f>
        <v>0</v>
      </c>
      <c r="AD151" s="291">
        <f t="shared" ref="AD151:AD157" si="65">+IF(OR(W86="",T86=""),"",IF(N151&gt;0.82,4,IF(N151&gt;0.77,3,IF(N151&gt;0.72,2,IF(N151&gt;=0.7,1,0)))))</f>
        <v>0</v>
      </c>
      <c r="AE151" s="291">
        <f t="shared" si="37"/>
        <v>438479.99999999994</v>
      </c>
      <c r="AF151" s="291">
        <f t="shared" si="50"/>
        <v>438479.99999999994</v>
      </c>
      <c r="AG151" s="295">
        <f t="shared" ref="AG151:AG157" si="66">IF($H$14&gt;3.556,V86,IF($H$14&gt;=3.048,U86, IF($H$14&gt;=2.286,T86,IF($H$14&gt;=1.524,T86,T86))))</f>
        <v>9900</v>
      </c>
      <c r="AH151" s="265"/>
    </row>
    <row r="152" spans="2:34" s="266" customFormat="1" ht="15.75" customHeight="1" x14ac:dyDescent="0.25">
      <c r="B152" s="243" t="str">
        <f t="shared" si="59"/>
        <v>MultiFan— 360 RPM</v>
      </c>
      <c r="C152" s="244"/>
      <c r="D152" s="245"/>
      <c r="E152" s="246">
        <f t="shared" ref="E152:E157" si="67">IF(B152="","",IF($H$14&gt;3.65,50,IF($H$14&gt;=3,37.5, IF($H$14&gt;=2.25,25,IF($H$14&gt;=1.5,12.5,0.05)))))</f>
        <v>37.5</v>
      </c>
      <c r="F152" s="247">
        <f t="shared" si="60"/>
        <v>9200</v>
      </c>
      <c r="G152" s="248">
        <f t="shared" si="61"/>
        <v>48</v>
      </c>
      <c r="H152" s="249">
        <f t="shared" si="58"/>
        <v>0</v>
      </c>
      <c r="I152" s="250">
        <f t="shared" ref="I152:I157" si="68">+IF(F152="","",IF(H152&gt;0,ROUND(F152*H152,-2),ROUND(F152*G152,-2)))</f>
        <v>441600</v>
      </c>
      <c r="J152" s="251">
        <f t="shared" si="62"/>
        <v>24.1</v>
      </c>
      <c r="K152" s="252">
        <f t="shared" si="63"/>
        <v>16700.599999999999</v>
      </c>
      <c r="L152" s="253">
        <f t="shared" ref="L152:L157" si="69">+IF(I152="","",ROUND((I152/($C$12*($C$13+$C$14)/2)/3600),2))</f>
        <v>3.52</v>
      </c>
      <c r="M152" s="254">
        <f t="shared" ref="M152:M157" si="70">IF(L152="","",IF(L152&gt;3.302,0.8676*3.302^2+0.0787*3.302-0.0034,0.8676*L152^2+0.0787*L152-0.0034))</f>
        <v>9.7160871904000015</v>
      </c>
      <c r="N152" s="255"/>
      <c r="O152" s="255"/>
      <c r="P152" s="255"/>
      <c r="Q152" s="255"/>
      <c r="R152" s="256">
        <f t="shared" si="52"/>
        <v>154.68066491688538</v>
      </c>
      <c r="S152" s="257">
        <f t="shared" si="53"/>
        <v>1474.944</v>
      </c>
      <c r="T152" s="258">
        <f t="shared" si="54"/>
        <v>2786.4959999999996</v>
      </c>
      <c r="U152" s="259">
        <f t="shared" si="42"/>
        <v>90960</v>
      </c>
      <c r="V152" s="260">
        <f t="shared" si="55"/>
        <v>83503</v>
      </c>
      <c r="W152" s="261">
        <f t="shared" ref="W152:W157" si="71">IF(U152="","",+U152+V152)</f>
        <v>174463</v>
      </c>
      <c r="X152" s="262">
        <f t="shared" ref="X152:X157" si="72">+IF(V152="","",V152*2)</f>
        <v>167006</v>
      </c>
      <c r="Y152" s="263">
        <f t="shared" ref="Y152:Y157" si="73">+IF(U152="","",X152+U152)</f>
        <v>257966</v>
      </c>
      <c r="Z152" s="264">
        <f t="shared" si="56"/>
        <v>1590.6000000000004</v>
      </c>
      <c r="AA152" s="289">
        <f t="shared" si="57"/>
        <v>15906.000000000004</v>
      </c>
      <c r="AB152" s="294"/>
      <c r="AC152" s="291">
        <f t="shared" si="64"/>
        <v>4</v>
      </c>
      <c r="AD152" s="291">
        <f t="shared" si="65"/>
        <v>0</v>
      </c>
      <c r="AE152" s="291">
        <f t="shared" si="37"/>
        <v>438479.99999999994</v>
      </c>
      <c r="AF152" s="291">
        <f t="shared" ref="AF152:AF157" si="74">+IF(AE152&gt;$AF$97,AE152,$AF$97)</f>
        <v>438479.99999999994</v>
      </c>
      <c r="AG152" s="295">
        <f t="shared" si="66"/>
        <v>22100</v>
      </c>
      <c r="AH152" s="265"/>
    </row>
    <row r="153" spans="2:34" s="266" customFormat="1" ht="15.75" customHeight="1" x14ac:dyDescent="0.25">
      <c r="B153" s="243" t="str">
        <f t="shared" si="59"/>
        <v>MultiFan— 420 RPM</v>
      </c>
      <c r="C153" s="244"/>
      <c r="D153" s="245"/>
      <c r="E153" s="246">
        <f t="shared" si="67"/>
        <v>37.5</v>
      </c>
      <c r="F153" s="247">
        <f t="shared" si="60"/>
        <v>25100</v>
      </c>
      <c r="G153" s="248">
        <f t="shared" si="61"/>
        <v>18</v>
      </c>
      <c r="H153" s="249">
        <f t="shared" si="58"/>
        <v>0</v>
      </c>
      <c r="I153" s="250">
        <f t="shared" si="68"/>
        <v>451800</v>
      </c>
      <c r="J153" s="251">
        <f t="shared" si="62"/>
        <v>13.6</v>
      </c>
      <c r="K153" s="252">
        <f t="shared" si="63"/>
        <v>9427.6</v>
      </c>
      <c r="L153" s="253">
        <f t="shared" si="69"/>
        <v>3.61</v>
      </c>
      <c r="M153" s="254">
        <f t="shared" si="70"/>
        <v>9.7160871904000015</v>
      </c>
      <c r="N153" s="255"/>
      <c r="O153" s="255"/>
      <c r="P153" s="255"/>
      <c r="Q153" s="255"/>
      <c r="R153" s="256">
        <f t="shared" si="52"/>
        <v>90.28871391076116</v>
      </c>
      <c r="S153" s="257">
        <f t="shared" si="53"/>
        <v>1509.0119999999999</v>
      </c>
      <c r="T153" s="258">
        <f t="shared" si="54"/>
        <v>2850.8579999999997</v>
      </c>
      <c r="U153" s="259">
        <f t="shared" si="42"/>
        <v>34110</v>
      </c>
      <c r="V153" s="260">
        <f t="shared" si="55"/>
        <v>47138</v>
      </c>
      <c r="W153" s="261">
        <f t="shared" si="71"/>
        <v>81248</v>
      </c>
      <c r="X153" s="262">
        <f t="shared" si="72"/>
        <v>94276</v>
      </c>
      <c r="Y153" s="263">
        <f t="shared" si="73"/>
        <v>128386</v>
      </c>
      <c r="Z153" s="264">
        <f t="shared" si="56"/>
        <v>897.59999999999991</v>
      </c>
      <c r="AA153" s="289">
        <f t="shared" si="57"/>
        <v>8976</v>
      </c>
      <c r="AB153" s="294"/>
      <c r="AC153" s="291">
        <f t="shared" si="64"/>
        <v>4</v>
      </c>
      <c r="AD153" s="291">
        <f t="shared" si="65"/>
        <v>0</v>
      </c>
      <c r="AE153" s="291">
        <f t="shared" si="37"/>
        <v>438479.99999999994</v>
      </c>
      <c r="AF153" s="291">
        <f t="shared" si="74"/>
        <v>438479.99999999994</v>
      </c>
      <c r="AG153" s="295">
        <f t="shared" si="66"/>
        <v>34400</v>
      </c>
      <c r="AH153" s="265"/>
    </row>
    <row r="154" spans="2:34" s="266" customFormat="1" ht="15.75" customHeight="1" x14ac:dyDescent="0.25">
      <c r="B154" s="243" t="str">
        <f t="shared" si="59"/>
        <v>MultiFan— 479 RPM</v>
      </c>
      <c r="C154" s="244"/>
      <c r="D154" s="245"/>
      <c r="E154" s="246">
        <f t="shared" si="67"/>
        <v>37.5</v>
      </c>
      <c r="F154" s="247">
        <f t="shared" si="60"/>
        <v>39200</v>
      </c>
      <c r="G154" s="248">
        <f t="shared" si="61"/>
        <v>12</v>
      </c>
      <c r="H154" s="249">
        <f t="shared" si="58"/>
        <v>0</v>
      </c>
      <c r="I154" s="250">
        <f t="shared" si="68"/>
        <v>470400</v>
      </c>
      <c r="J154" s="251">
        <f t="shared" si="62"/>
        <v>12.6</v>
      </c>
      <c r="K154" s="252">
        <f t="shared" si="63"/>
        <v>8741.6</v>
      </c>
      <c r="L154" s="253">
        <f t="shared" si="69"/>
        <v>3.75</v>
      </c>
      <c r="M154" s="254">
        <f t="shared" si="70"/>
        <v>9.7160871904000015</v>
      </c>
      <c r="N154" s="255"/>
      <c r="O154" s="255"/>
      <c r="P154" s="255"/>
      <c r="Q154" s="255"/>
      <c r="R154" s="256">
        <f t="shared" si="52"/>
        <v>75.065616797900262</v>
      </c>
      <c r="S154" s="257">
        <f t="shared" si="53"/>
        <v>1571.136</v>
      </c>
      <c r="T154" s="258">
        <f t="shared" si="54"/>
        <v>2968.2239999999997</v>
      </c>
      <c r="U154" s="259">
        <f t="shared" si="42"/>
        <v>22740</v>
      </c>
      <c r="V154" s="260">
        <f t="shared" si="55"/>
        <v>43708</v>
      </c>
      <c r="W154" s="261">
        <f t="shared" si="71"/>
        <v>66448</v>
      </c>
      <c r="X154" s="262">
        <f t="shared" si="72"/>
        <v>87416</v>
      </c>
      <c r="Y154" s="263">
        <f t="shared" si="73"/>
        <v>110156</v>
      </c>
      <c r="Z154" s="264">
        <f t="shared" si="56"/>
        <v>831.59999999999991</v>
      </c>
      <c r="AA154" s="289">
        <f t="shared" si="57"/>
        <v>8316</v>
      </c>
      <c r="AB154" s="294"/>
      <c r="AC154" s="291">
        <f t="shared" si="64"/>
        <v>4</v>
      </c>
      <c r="AD154" s="291">
        <f t="shared" si="65"/>
        <v>0</v>
      </c>
      <c r="AE154" s="291">
        <f>+($C$13+$C$14)/2*$C$12*$H$14*3600</f>
        <v>438479.99999999994</v>
      </c>
      <c r="AF154" s="291">
        <f t="shared" si="74"/>
        <v>438479.99999999994</v>
      </c>
      <c r="AG154" s="295">
        <f t="shared" si="66"/>
        <v>42900</v>
      </c>
      <c r="AH154" s="265"/>
    </row>
    <row r="155" spans="2:34" ht="15.75" customHeight="1" x14ac:dyDescent="0.25">
      <c r="B155" s="131" t="str">
        <f t="shared" si="59"/>
        <v>MultiFan— 540 RPM</v>
      </c>
      <c r="C155" s="133"/>
      <c r="D155" s="135"/>
      <c r="E155" s="134">
        <f t="shared" si="67"/>
        <v>37.5</v>
      </c>
      <c r="F155" s="111">
        <f t="shared" si="60"/>
        <v>47500</v>
      </c>
      <c r="G155" s="106">
        <f t="shared" si="61"/>
        <v>10</v>
      </c>
      <c r="H155" s="112">
        <f t="shared" si="58"/>
        <v>0</v>
      </c>
      <c r="I155" s="113">
        <f t="shared" si="68"/>
        <v>475000</v>
      </c>
      <c r="J155" s="114">
        <f t="shared" si="62"/>
        <v>14</v>
      </c>
      <c r="K155" s="107">
        <f t="shared" si="63"/>
        <v>9684</v>
      </c>
      <c r="L155" s="115">
        <f t="shared" si="69"/>
        <v>3.79</v>
      </c>
      <c r="M155" s="116">
        <f t="shared" si="70"/>
        <v>9.7160871904000015</v>
      </c>
      <c r="N155" s="76"/>
      <c r="O155" s="76"/>
      <c r="P155" s="76"/>
      <c r="Q155" s="76"/>
      <c r="R155" s="108">
        <f t="shared" si="52"/>
        <v>73.782443861184021</v>
      </c>
      <c r="S155" s="117">
        <f t="shared" si="53"/>
        <v>1586.5</v>
      </c>
      <c r="T155" s="118">
        <f t="shared" si="54"/>
        <v>2997.25</v>
      </c>
      <c r="U155" s="109">
        <f t="shared" si="42"/>
        <v>18950</v>
      </c>
      <c r="V155" s="119">
        <f t="shared" si="55"/>
        <v>48420</v>
      </c>
      <c r="W155" s="120">
        <f t="shared" si="71"/>
        <v>67370</v>
      </c>
      <c r="X155" s="121">
        <f t="shared" si="72"/>
        <v>96840</v>
      </c>
      <c r="Y155" s="122">
        <f t="shared" si="73"/>
        <v>115790</v>
      </c>
      <c r="Z155" s="123">
        <f t="shared" si="56"/>
        <v>924</v>
      </c>
      <c r="AA155" s="142">
        <f t="shared" si="57"/>
        <v>9240</v>
      </c>
      <c r="AB155" s="292"/>
      <c r="AC155" s="290">
        <f t="shared" si="64"/>
        <v>3</v>
      </c>
      <c r="AD155" s="290">
        <f t="shared" si="65"/>
        <v>0</v>
      </c>
      <c r="AE155" s="290">
        <f>+($C$13+$C$14)/2*$C$12*$H$14*3600</f>
        <v>438479.99999999994</v>
      </c>
      <c r="AF155" s="290">
        <f t="shared" si="74"/>
        <v>438479.99999999994</v>
      </c>
      <c r="AG155" s="293">
        <f t="shared" si="66"/>
        <v>50600</v>
      </c>
      <c r="AH155" s="198"/>
    </row>
    <row r="156" spans="2:34" ht="15.75" customHeight="1" x14ac:dyDescent="0.25">
      <c r="B156" s="131" t="str">
        <f t="shared" si="59"/>
        <v>MultiFan— 600 RPM</v>
      </c>
      <c r="C156" s="133"/>
      <c r="D156" s="135"/>
      <c r="E156" s="134">
        <f t="shared" si="67"/>
        <v>37.5</v>
      </c>
      <c r="F156" s="111">
        <f t="shared" si="60"/>
        <v>54400</v>
      </c>
      <c r="G156" s="106">
        <f t="shared" si="61"/>
        <v>9</v>
      </c>
      <c r="H156" s="112">
        <f t="shared" si="58"/>
        <v>0</v>
      </c>
      <c r="I156" s="113">
        <f t="shared" si="68"/>
        <v>489600</v>
      </c>
      <c r="J156" s="114">
        <f t="shared" si="62"/>
        <v>16.2</v>
      </c>
      <c r="K156" s="107">
        <f t="shared" si="63"/>
        <v>11249.2</v>
      </c>
      <c r="L156" s="115">
        <f t="shared" si="69"/>
        <v>3.91</v>
      </c>
      <c r="M156" s="116">
        <f t="shared" si="70"/>
        <v>9.7160871904000015</v>
      </c>
      <c r="N156" s="76"/>
      <c r="O156" s="76"/>
      <c r="P156" s="76"/>
      <c r="Q156" s="76"/>
      <c r="R156" s="108">
        <f t="shared" si="52"/>
        <v>75.328083989501309</v>
      </c>
      <c r="S156" s="117">
        <f t="shared" si="53"/>
        <v>1635.2640000000001</v>
      </c>
      <c r="T156" s="118">
        <f t="shared" si="54"/>
        <v>3089.3759999999997</v>
      </c>
      <c r="U156" s="109">
        <f t="shared" si="42"/>
        <v>17055</v>
      </c>
      <c r="V156" s="119">
        <f t="shared" si="55"/>
        <v>56246</v>
      </c>
      <c r="W156" s="120">
        <f t="shared" si="71"/>
        <v>73301</v>
      </c>
      <c r="X156" s="121">
        <f t="shared" si="72"/>
        <v>112492</v>
      </c>
      <c r="Y156" s="122">
        <f t="shared" si="73"/>
        <v>129547</v>
      </c>
      <c r="Z156" s="123">
        <f t="shared" si="56"/>
        <v>1069.1999999999998</v>
      </c>
      <c r="AA156" s="142">
        <f t="shared" si="57"/>
        <v>10691.999999999998</v>
      </c>
      <c r="AB156" s="292"/>
      <c r="AC156" s="290">
        <f t="shared" si="64"/>
        <v>0</v>
      </c>
      <c r="AD156" s="290">
        <f t="shared" si="65"/>
        <v>0</v>
      </c>
      <c r="AE156" s="290">
        <f>+($C$13+$C$14)/2*$C$12*$H$14*3600</f>
        <v>438479.99999999994</v>
      </c>
      <c r="AF156" s="290">
        <f t="shared" si="74"/>
        <v>438479.99999999994</v>
      </c>
      <c r="AG156" s="293">
        <f t="shared" si="66"/>
        <v>57400</v>
      </c>
      <c r="AH156" s="198"/>
    </row>
    <row r="157" spans="2:34" ht="15.75" customHeight="1" x14ac:dyDescent="0.25">
      <c r="B157" s="131" t="str">
        <f t="shared" si="59"/>
        <v>MultiFan— 615 RPM</v>
      </c>
      <c r="C157" s="133"/>
      <c r="D157" s="135"/>
      <c r="E157" s="134">
        <f t="shared" si="67"/>
        <v>37.5</v>
      </c>
      <c r="F157" s="111">
        <f t="shared" si="60"/>
        <v>56300</v>
      </c>
      <c r="G157" s="106">
        <f t="shared" si="61"/>
        <v>8</v>
      </c>
      <c r="H157" s="112">
        <f>IF(H246="",0,H246)</f>
        <v>0</v>
      </c>
      <c r="I157" s="113">
        <f t="shared" si="68"/>
        <v>450400</v>
      </c>
      <c r="J157" s="114">
        <f t="shared" si="62"/>
        <v>15.3</v>
      </c>
      <c r="K157" s="107">
        <f t="shared" si="63"/>
        <v>10599.8</v>
      </c>
      <c r="L157" s="115">
        <f t="shared" si="69"/>
        <v>3.6</v>
      </c>
      <c r="M157" s="116">
        <f t="shared" si="70"/>
        <v>9.7160871904000015</v>
      </c>
      <c r="N157" s="76"/>
      <c r="O157" s="76"/>
      <c r="P157" s="76"/>
      <c r="Q157" s="76"/>
      <c r="R157" s="108">
        <f t="shared" si="52"/>
        <v>68.941382327209098</v>
      </c>
      <c r="S157" s="117">
        <f t="shared" si="53"/>
        <v>1504.336</v>
      </c>
      <c r="T157" s="118">
        <f t="shared" si="54"/>
        <v>2842.0239999999999</v>
      </c>
      <c r="U157" s="109">
        <f t="shared" si="42"/>
        <v>15160</v>
      </c>
      <c r="V157" s="119">
        <f t="shared" si="55"/>
        <v>52999</v>
      </c>
      <c r="W157" s="120">
        <f t="shared" si="71"/>
        <v>68159</v>
      </c>
      <c r="X157" s="121">
        <f t="shared" si="72"/>
        <v>105998</v>
      </c>
      <c r="Y157" s="122">
        <f t="shared" si="73"/>
        <v>121158</v>
      </c>
      <c r="Z157" s="123">
        <f t="shared" si="56"/>
        <v>1009.8000000000002</v>
      </c>
      <c r="AA157" s="142">
        <f t="shared" si="57"/>
        <v>10098.000000000002</v>
      </c>
      <c r="AB157" s="292"/>
      <c r="AC157" s="290">
        <f t="shared" si="64"/>
        <v>0</v>
      </c>
      <c r="AD157" s="290">
        <f t="shared" si="65"/>
        <v>0</v>
      </c>
      <c r="AE157" s="290">
        <f>+($C$13+$C$14)/2*$C$12*$H$14*3600</f>
        <v>438479.99999999994</v>
      </c>
      <c r="AF157" s="290">
        <f t="shared" si="74"/>
        <v>438479.99999999994</v>
      </c>
      <c r="AG157" s="293">
        <f t="shared" si="66"/>
        <v>59100</v>
      </c>
      <c r="AH157" s="198"/>
    </row>
    <row r="158" spans="2:34" ht="15.75" customHeight="1" thickBot="1" x14ac:dyDescent="0.3">
      <c r="B158" s="465"/>
      <c r="C158" s="466"/>
      <c r="D158" s="467"/>
      <c r="E158" s="134"/>
      <c r="F158" s="111"/>
      <c r="G158" s="106"/>
      <c r="H158" s="112"/>
      <c r="I158" s="113"/>
      <c r="J158" s="114"/>
      <c r="K158" s="107"/>
      <c r="L158" s="115"/>
      <c r="M158" s="116"/>
      <c r="N158" s="76"/>
      <c r="O158" s="76"/>
      <c r="P158" s="76"/>
      <c r="Q158" s="76"/>
      <c r="R158" s="108"/>
      <c r="S158" s="117"/>
      <c r="T158" s="118"/>
      <c r="U158" s="109"/>
      <c r="V158" s="119"/>
      <c r="W158" s="120"/>
      <c r="X158" s="121"/>
      <c r="Y158" s="122"/>
      <c r="Z158" s="123"/>
      <c r="AA158" s="142">
        <v>1000</v>
      </c>
      <c r="AB158" s="296"/>
      <c r="AC158" s="297"/>
      <c r="AD158" s="297"/>
      <c r="AE158" s="297"/>
      <c r="AF158" s="297"/>
      <c r="AG158" s="298"/>
      <c r="AH158" s="198"/>
    </row>
    <row r="159" spans="2:34" ht="15.75" hidden="1" x14ac:dyDescent="0.25">
      <c r="B159" s="126"/>
      <c r="C159" s="126"/>
      <c r="D159" s="126"/>
      <c r="E159" s="126"/>
      <c r="F159" s="125"/>
      <c r="G159" s="125"/>
      <c r="H159" s="125"/>
      <c r="I159" s="125"/>
      <c r="J159" s="127"/>
      <c r="K159" s="127"/>
      <c r="L159" s="95"/>
      <c r="M159" s="95"/>
      <c r="N159" s="130"/>
      <c r="O159" s="130"/>
      <c r="P159" s="130"/>
      <c r="Q159" s="130"/>
      <c r="R159" s="95"/>
      <c r="S159" s="95"/>
      <c r="T159" s="95"/>
      <c r="U159" s="95"/>
      <c r="V159" s="95"/>
      <c r="W159" s="95"/>
      <c r="X159" s="95"/>
      <c r="Y159" s="95"/>
      <c r="Z159" s="95"/>
      <c r="AA159" s="95"/>
      <c r="AB159" s="96"/>
      <c r="AC159" s="96"/>
      <c r="AD159" s="96"/>
      <c r="AE159" s="96"/>
      <c r="AF159" s="96"/>
      <c r="AG159" s="96"/>
      <c r="AH159" s="198"/>
    </row>
    <row r="160" spans="2:34" ht="15.75" hidden="1" x14ac:dyDescent="0.25">
      <c r="B160" s="126"/>
      <c r="C160" s="126"/>
      <c r="D160" s="126"/>
      <c r="E160" s="126"/>
      <c r="F160" s="125"/>
      <c r="G160" s="125"/>
      <c r="H160" s="125"/>
      <c r="I160" s="125"/>
      <c r="J160" s="128"/>
      <c r="K160" s="128"/>
      <c r="L160" s="95"/>
      <c r="M160" s="95"/>
      <c r="N160" s="130"/>
      <c r="O160" s="130"/>
      <c r="P160" s="130"/>
      <c r="Q160" s="130"/>
      <c r="R160" s="95"/>
      <c r="S160" s="95"/>
      <c r="T160" s="95"/>
      <c r="U160" s="95"/>
      <c r="V160" s="95"/>
      <c r="W160" s="95"/>
      <c r="X160" s="95"/>
      <c r="Y160" s="95"/>
      <c r="Z160" s="95"/>
      <c r="AA160" s="95"/>
      <c r="AB160" s="96"/>
      <c r="AC160" s="96"/>
      <c r="AD160" s="96"/>
      <c r="AE160" s="96"/>
      <c r="AF160" s="96"/>
      <c r="AG160" s="96"/>
      <c r="AH160" s="198"/>
    </row>
    <row r="161" spans="2:34" ht="15.75" hidden="1" customHeight="1" x14ac:dyDescent="0.25">
      <c r="B161" s="230" t="s">
        <v>132</v>
      </c>
      <c r="C161" s="231"/>
      <c r="D161" s="232"/>
      <c r="E161" s="221" t="s">
        <v>7</v>
      </c>
      <c r="F161" s="222" t="s">
        <v>8</v>
      </c>
      <c r="G161" s="223" t="s">
        <v>9</v>
      </c>
      <c r="H161" s="223" t="s">
        <v>76</v>
      </c>
      <c r="I161" s="223" t="s">
        <v>10</v>
      </c>
      <c r="J161" s="223" t="s">
        <v>79</v>
      </c>
      <c r="K161" s="223" t="s">
        <v>11</v>
      </c>
      <c r="L161" s="223" t="s">
        <v>78</v>
      </c>
      <c r="M161" s="224" t="s">
        <v>75</v>
      </c>
      <c r="N161" s="130"/>
      <c r="O161" s="130"/>
      <c r="P161" s="130"/>
      <c r="Q161" s="130"/>
      <c r="R161" s="100" t="s">
        <v>17</v>
      </c>
      <c r="S161" s="101" t="s">
        <v>18</v>
      </c>
      <c r="T161" s="102" t="s">
        <v>18</v>
      </c>
      <c r="U161" s="236"/>
      <c r="V161" s="626" t="s">
        <v>19</v>
      </c>
      <c r="W161" s="627"/>
      <c r="X161" s="626" t="s">
        <v>20</v>
      </c>
      <c r="Y161" s="627"/>
      <c r="Z161" s="437" t="s">
        <v>117</v>
      </c>
      <c r="AA161" s="438"/>
      <c r="AB161" s="96"/>
      <c r="AC161" s="201" t="s">
        <v>0</v>
      </c>
      <c r="AD161" s="201" t="s">
        <v>1</v>
      </c>
      <c r="AE161" s="201" t="s">
        <v>40</v>
      </c>
      <c r="AF161" s="201" t="s">
        <v>3</v>
      </c>
      <c r="AG161" s="99" t="s">
        <v>32</v>
      </c>
      <c r="AH161" s="199"/>
    </row>
    <row r="162" spans="2:34" ht="32.25" hidden="1" thickBot="1" x14ac:dyDescent="0.3">
      <c r="B162" s="233"/>
      <c r="C162" s="234"/>
      <c r="D162" s="235"/>
      <c r="E162" s="225" t="s">
        <v>12</v>
      </c>
      <c r="F162" s="226" t="s">
        <v>13</v>
      </c>
      <c r="G162" s="227" t="s">
        <v>14</v>
      </c>
      <c r="H162" s="227" t="s">
        <v>77</v>
      </c>
      <c r="I162" s="227" t="s">
        <v>15</v>
      </c>
      <c r="J162" s="228" t="s">
        <v>80</v>
      </c>
      <c r="K162" s="228" t="s">
        <v>81</v>
      </c>
      <c r="L162" s="227" t="s">
        <v>16</v>
      </c>
      <c r="M162" s="229" t="s">
        <v>16</v>
      </c>
      <c r="N162" s="130"/>
      <c r="O162" s="130"/>
      <c r="P162" s="130"/>
      <c r="Q162" s="130"/>
      <c r="R162" s="103" t="s">
        <v>29</v>
      </c>
      <c r="S162" s="98" t="s">
        <v>30</v>
      </c>
      <c r="T162" s="104" t="s">
        <v>31</v>
      </c>
      <c r="U162" s="237" t="s">
        <v>37</v>
      </c>
      <c r="V162" s="238" t="s">
        <v>38</v>
      </c>
      <c r="W162" s="239" t="s">
        <v>39</v>
      </c>
      <c r="X162" s="240" t="str">
        <f>+V162</f>
        <v>Electricity</v>
      </c>
      <c r="Y162" s="239" t="str">
        <f>+W162</f>
        <v>Total</v>
      </c>
      <c r="Z162" s="241" t="s">
        <v>118</v>
      </c>
      <c r="AA162" s="242" t="s">
        <v>119</v>
      </c>
      <c r="AB162" s="96"/>
      <c r="AC162" s="201" t="s">
        <v>2</v>
      </c>
      <c r="AD162" s="201" t="s">
        <v>2</v>
      </c>
      <c r="AE162" s="105"/>
      <c r="AF162" s="105"/>
      <c r="AG162" s="99" t="s">
        <v>33</v>
      </c>
      <c r="AH162" s="199"/>
    </row>
    <row r="163" spans="2:34" ht="15.75" hidden="1" x14ac:dyDescent="0.25">
      <c r="B163" s="138" t="str">
        <f t="shared" ref="B163:B170" si="75">IF(B59="","",B59)</f>
        <v>Hired Hand 6603-7403 52" (60Hz) CONE 1hp</v>
      </c>
      <c r="C163" s="137"/>
      <c r="D163" s="137"/>
      <c r="E163" s="134">
        <f t="shared" ref="E163:E188" si="76">IF(B163="","",IF($H$14&gt;3.65,50,IF($H$14&gt;=3,37.5, IF($H$14&gt;=2.25,25,IF($H$14&gt;=1.5,12.5,0.05)))))</f>
        <v>37.5</v>
      </c>
      <c r="F163" s="136">
        <f t="shared" ref="F163:F187" si="77">IF(E163="","",IF($H$14&gt;3.65,H59,IF($H$14&gt;=3,G59, IF($H$14&gt;=2.25,F59,IF($H$14&gt;=1.5,E59,E59)))))</f>
        <v>40946</v>
      </c>
      <c r="G163" s="106">
        <f t="shared" ref="G163:G187" si="78">+IF(B59="","",ROUNDUP(AF163/F163,0))</f>
        <v>11</v>
      </c>
      <c r="H163" s="112">
        <f t="shared" ref="H163:H187" si="79">IF(B$33=B163,K$33,IF(B$34=B163,K$34,IF(B$35=B163,K$35,IF(B$36=B163,K$36,IF(B$37=B163,K$37,0)))))</f>
        <v>0</v>
      </c>
      <c r="I163" s="113">
        <f t="shared" ref="I163:I188" si="80">+IF(F163="","",IF(H163&gt;0,ROUND(F163*H163,-2),ROUND(F163*G163,-2)))</f>
        <v>450400</v>
      </c>
      <c r="J163" s="114">
        <f t="shared" ref="J163:J187" si="81">+IF(I59="","",IF(H163&gt;0,ROUND((H163*(($F59)/(($I59)))/1000),1),ROUND((G163*(($F59)/(($I59)))/1000),1)))</f>
        <v>13.7</v>
      </c>
      <c r="K163" s="107">
        <f t="shared" ref="K163:K187" si="82">+IF(I59="","",IF(H163&gt;0,ROUND((H163*(($F59)/(($I59)))/1000*$H$13*$H$11),-1),ROUND((G163*(($F59)/(($I59)))/1000*$H$13*$H$11),-1)))+Z163+$AA$158</f>
        <v>10504.2</v>
      </c>
      <c r="L163" s="115">
        <f t="shared" ref="L163:L188" si="83">+IF(I163="","",ROUND((I163/($C$12*($C$13+$C$14)/2)/3600),2))</f>
        <v>3.6</v>
      </c>
      <c r="M163" s="140">
        <f t="shared" ref="M163:M188" si="84">IF(L163="","",IF(L163&gt;3.302,0.8676*3.302^2+0.0787*3.302-0.0034,0.8676*L163^2+0.0787*L163-0.0034))</f>
        <v>9.7160871904000015</v>
      </c>
      <c r="N163" s="76"/>
      <c r="O163" s="76"/>
      <c r="P163" s="76"/>
      <c r="Q163" s="76"/>
      <c r="R163" s="141">
        <f t="shared" ref="R163:R194" si="85">+IF(B163="","",IF(H163&gt;0,H163*AG163/6858,G163*AG163/6858))</f>
        <v>70.037182852143488</v>
      </c>
      <c r="S163" s="117">
        <f t="shared" ref="S163:S194" si="86">+IF(B163="","",I163*0.00334)</f>
        <v>1504.336</v>
      </c>
      <c r="T163" s="118">
        <f t="shared" ref="T163:T194" si="87">+IF(B163="","",I163*0.00631)</f>
        <v>2842.0239999999999</v>
      </c>
      <c r="U163" s="109">
        <f t="shared" ref="U163:U194" si="88">IF(J59="","",IF(H163&gt;0,J59*H163,J59*G163))</f>
        <v>16500</v>
      </c>
      <c r="V163" s="119">
        <f t="shared" ref="V163:V194" si="89">+IF(K163="","",K163*5)</f>
        <v>52521</v>
      </c>
      <c r="W163" s="120">
        <f t="shared" ref="W163:W190" si="90">IF(U163="","",+U163+V163)</f>
        <v>69021</v>
      </c>
      <c r="X163" s="121">
        <f t="shared" ref="X163:X189" si="91">+IF(V163="","",V163*2)</f>
        <v>105042</v>
      </c>
      <c r="Y163" s="122">
        <f t="shared" ref="Y163:Y189" si="92">+IF(U163="","",X163+U163)</f>
        <v>121542</v>
      </c>
      <c r="Z163" s="123">
        <f t="shared" ref="Z163:Z194" si="93">(J163*$H$12)*5.5</f>
        <v>904.19999999999982</v>
      </c>
      <c r="AA163" s="142">
        <f t="shared" ref="AA163:AA194" si="94">Z163*10</f>
        <v>9041.9999999999982</v>
      </c>
      <c r="AB163" s="96"/>
      <c r="AC163" s="105">
        <f t="shared" ref="AC163:AC189" si="95">+IF(I59="","",IF(I59&gt;=37.38,4,IF(I59&gt;=35.68,3,IF(I59&gt;=33.98,2,IF(I59&gt;=32.28,1,0)))))</f>
        <v>2</v>
      </c>
      <c r="AD163" s="105" t="e">
        <f>+IF(OR(#REF!="",#REF!=""),"",IF(N163&gt;0.82,4,IF(N163&gt;0.77,3,IF(N163&gt;0.72,2,IF(N163&gt;=0.7,1,0)))))</f>
        <v>#REF!</v>
      </c>
      <c r="AE163" s="105">
        <f t="shared" ref="AE163:AE226" si="96">+($C$13+$C$14)/2*$C$12*$H$14*3600</f>
        <v>438479.99999999994</v>
      </c>
      <c r="AF163" s="105">
        <f t="shared" ref="AF163:AF190" si="97">+IF(AE163&gt;$AF$97,AE163,$AF$97)</f>
        <v>438479.99999999994</v>
      </c>
      <c r="AG163" s="110">
        <f t="shared" ref="AG163:AG187" si="98">IF($H$14&gt;3.556,G59,IF($H$14&gt;=3.048,F59, IF($H$14&gt;=2.286,E59,IF($H$14&gt;=1.524,E59,E59))))</f>
        <v>43665</v>
      </c>
      <c r="AH163" s="199"/>
    </row>
    <row r="164" spans="2:34" ht="15.75" hidden="1" x14ac:dyDescent="0.25">
      <c r="B164" s="138" t="str">
        <f t="shared" si="75"/>
        <v>Hired Hand 6603-6527 52.5" - Butterfly damper (60Hz) CONE 1hp</v>
      </c>
      <c r="C164" s="137"/>
      <c r="D164" s="137"/>
      <c r="E164" s="134">
        <f t="shared" si="76"/>
        <v>37.5</v>
      </c>
      <c r="F164" s="136">
        <f t="shared" si="77"/>
        <v>39925</v>
      </c>
      <c r="G164" s="106">
        <f t="shared" si="78"/>
        <v>11</v>
      </c>
      <c r="H164" s="112">
        <f t="shared" si="79"/>
        <v>0</v>
      </c>
      <c r="I164" s="113">
        <f t="shared" si="80"/>
        <v>439200</v>
      </c>
      <c r="J164" s="114">
        <f t="shared" si="81"/>
        <v>14.6</v>
      </c>
      <c r="K164" s="107">
        <f t="shared" si="82"/>
        <v>11143.6</v>
      </c>
      <c r="L164" s="115">
        <f t="shared" si="83"/>
        <v>3.51</v>
      </c>
      <c r="M164" s="140">
        <f t="shared" si="84"/>
        <v>9.7160871904000015</v>
      </c>
      <c r="N164" s="76"/>
      <c r="O164" s="76"/>
      <c r="P164" s="76"/>
      <c r="Q164" s="76"/>
      <c r="R164" s="141">
        <f t="shared" si="85"/>
        <v>70.037182852143488</v>
      </c>
      <c r="S164" s="117">
        <f t="shared" si="86"/>
        <v>1466.9280000000001</v>
      </c>
      <c r="T164" s="118">
        <f t="shared" si="87"/>
        <v>2771.3519999999999</v>
      </c>
      <c r="U164" s="109">
        <f t="shared" si="88"/>
        <v>16489</v>
      </c>
      <c r="V164" s="119">
        <f t="shared" si="89"/>
        <v>55718</v>
      </c>
      <c r="W164" s="120">
        <f t="shared" si="90"/>
        <v>72207</v>
      </c>
      <c r="X164" s="121">
        <f t="shared" si="91"/>
        <v>111436</v>
      </c>
      <c r="Y164" s="122">
        <f t="shared" si="92"/>
        <v>127925</v>
      </c>
      <c r="Z164" s="123">
        <f t="shared" si="93"/>
        <v>963.59999999999991</v>
      </c>
      <c r="AA164" s="142">
        <f t="shared" si="94"/>
        <v>9636</v>
      </c>
      <c r="AB164" s="96"/>
      <c r="AC164" s="105">
        <f t="shared" si="95"/>
        <v>1</v>
      </c>
      <c r="AD164" s="105" t="e">
        <f>+IF(OR(#REF!="",#REF!=""),"",IF(N164&gt;0.82,4,IF(N164&gt;0.77,3,IF(N164&gt;0.72,2,IF(N164&gt;=0.7,1,0)))))</f>
        <v>#REF!</v>
      </c>
      <c r="AE164" s="105">
        <f t="shared" si="96"/>
        <v>438479.99999999994</v>
      </c>
      <c r="AF164" s="105">
        <f t="shared" si="97"/>
        <v>438479.99999999994</v>
      </c>
      <c r="AG164" s="110">
        <f t="shared" si="98"/>
        <v>43665</v>
      </c>
      <c r="AH164" s="199"/>
    </row>
    <row r="165" spans="2:34" ht="15.75" hidden="1" x14ac:dyDescent="0.25">
      <c r="B165" s="138" t="str">
        <f t="shared" si="75"/>
        <v>Hired Hand 6603-3000 52.5" - CONE 1.5hp</v>
      </c>
      <c r="C165" s="137"/>
      <c r="D165" s="137"/>
      <c r="E165" s="134">
        <f t="shared" si="76"/>
        <v>37.5</v>
      </c>
      <c r="F165" s="136">
        <f t="shared" si="77"/>
        <v>37038</v>
      </c>
      <c r="G165" s="106">
        <f t="shared" si="78"/>
        <v>12</v>
      </c>
      <c r="H165" s="112">
        <f t="shared" si="79"/>
        <v>0</v>
      </c>
      <c r="I165" s="113">
        <f t="shared" si="80"/>
        <v>444500</v>
      </c>
      <c r="J165" s="114">
        <f t="shared" si="81"/>
        <v>14.8</v>
      </c>
      <c r="K165" s="107">
        <f t="shared" si="82"/>
        <v>11236.8</v>
      </c>
      <c r="L165" s="115">
        <f t="shared" si="83"/>
        <v>3.55</v>
      </c>
      <c r="M165" s="140">
        <f t="shared" si="84"/>
        <v>9.7160871904000015</v>
      </c>
      <c r="N165" s="76"/>
      <c r="O165" s="76"/>
      <c r="P165" s="76"/>
      <c r="Q165" s="76"/>
      <c r="R165" s="141">
        <f t="shared" si="85"/>
        <v>71.049868766404202</v>
      </c>
      <c r="S165" s="117">
        <f t="shared" si="86"/>
        <v>1484.63</v>
      </c>
      <c r="T165" s="118">
        <f t="shared" si="87"/>
        <v>2804.7949999999996</v>
      </c>
      <c r="U165" s="109">
        <f t="shared" si="88"/>
        <v>23808</v>
      </c>
      <c r="V165" s="119">
        <f t="shared" si="89"/>
        <v>56184</v>
      </c>
      <c r="W165" s="120">
        <f t="shared" si="90"/>
        <v>79992</v>
      </c>
      <c r="X165" s="121">
        <f t="shared" si="91"/>
        <v>112368</v>
      </c>
      <c r="Y165" s="122">
        <f t="shared" si="92"/>
        <v>136176</v>
      </c>
      <c r="Z165" s="123">
        <f t="shared" si="93"/>
        <v>976.80000000000018</v>
      </c>
      <c r="AA165" s="142">
        <f t="shared" si="94"/>
        <v>9768.0000000000018</v>
      </c>
      <c r="AB165" s="96"/>
      <c r="AC165" s="105">
        <f t="shared" si="95"/>
        <v>1</v>
      </c>
      <c r="AD165" s="105">
        <f t="shared" ref="AD165:AD173" si="99">+IF(OR(H100="",E100=""),"",IF(N165&gt;0.82,4,IF(N165&gt;0.77,3,IF(N165&gt;0.72,2,IF(N165&gt;=0.7,1,0)))))</f>
        <v>0</v>
      </c>
      <c r="AE165" s="105">
        <f t="shared" si="96"/>
        <v>438479.99999999994</v>
      </c>
      <c r="AF165" s="105">
        <f t="shared" si="97"/>
        <v>438479.99999999994</v>
      </c>
      <c r="AG165" s="110">
        <f t="shared" si="98"/>
        <v>40605</v>
      </c>
      <c r="AH165" s="199"/>
    </row>
    <row r="166" spans="2:34" ht="15.75" hidden="1" x14ac:dyDescent="0.25">
      <c r="B166" s="138" t="str">
        <f t="shared" si="75"/>
        <v>Hired Hand 6603-8010 54" - CONE 1.5hp</v>
      </c>
      <c r="C166" s="137"/>
      <c r="D166" s="137"/>
      <c r="E166" s="134">
        <f t="shared" si="76"/>
        <v>37.5</v>
      </c>
      <c r="F166" s="136">
        <f t="shared" si="77"/>
        <v>39417</v>
      </c>
      <c r="G166" s="106">
        <f t="shared" si="78"/>
        <v>12</v>
      </c>
      <c r="H166" s="112">
        <f t="shared" si="79"/>
        <v>0</v>
      </c>
      <c r="I166" s="113">
        <f t="shared" si="80"/>
        <v>473000</v>
      </c>
      <c r="J166" s="114">
        <f t="shared" si="81"/>
        <v>12.4</v>
      </c>
      <c r="K166" s="107">
        <f t="shared" si="82"/>
        <v>9608.4</v>
      </c>
      <c r="L166" s="115">
        <f t="shared" si="83"/>
        <v>3.78</v>
      </c>
      <c r="M166" s="140">
        <f t="shared" si="84"/>
        <v>9.7160871904000015</v>
      </c>
      <c r="N166" s="76"/>
      <c r="O166" s="76"/>
      <c r="P166" s="76"/>
      <c r="Q166" s="76"/>
      <c r="R166" s="141">
        <f t="shared" si="85"/>
        <v>74.619422572178479</v>
      </c>
      <c r="S166" s="117">
        <f t="shared" si="86"/>
        <v>1579.82</v>
      </c>
      <c r="T166" s="118">
        <f t="shared" si="87"/>
        <v>2984.6299999999997</v>
      </c>
      <c r="U166" s="109">
        <f t="shared" si="88"/>
        <v>23448</v>
      </c>
      <c r="V166" s="119">
        <f t="shared" si="89"/>
        <v>48042</v>
      </c>
      <c r="W166" s="120">
        <f t="shared" si="90"/>
        <v>71490</v>
      </c>
      <c r="X166" s="121">
        <f t="shared" si="91"/>
        <v>96084</v>
      </c>
      <c r="Y166" s="122">
        <f t="shared" si="92"/>
        <v>119532</v>
      </c>
      <c r="Z166" s="123">
        <f t="shared" si="93"/>
        <v>818.40000000000009</v>
      </c>
      <c r="AA166" s="142">
        <f t="shared" si="94"/>
        <v>8184.0000000000009</v>
      </c>
      <c r="AB166" s="96"/>
      <c r="AC166" s="105">
        <f t="shared" si="95"/>
        <v>4</v>
      </c>
      <c r="AD166" s="105">
        <f t="shared" si="99"/>
        <v>0</v>
      </c>
      <c r="AE166" s="105">
        <f t="shared" si="96"/>
        <v>438479.99999999994</v>
      </c>
      <c r="AF166" s="105">
        <f t="shared" si="97"/>
        <v>438479.99999999994</v>
      </c>
      <c r="AG166" s="110">
        <f t="shared" si="98"/>
        <v>42645</v>
      </c>
      <c r="AH166" s="199"/>
    </row>
    <row r="167" spans="2:34" ht="15.75" hidden="1" x14ac:dyDescent="0.25">
      <c r="B167" s="138" t="str">
        <f t="shared" si="75"/>
        <v>Munters Euroemme EM50 - 1hp</v>
      </c>
      <c r="C167" s="137"/>
      <c r="D167" s="137"/>
      <c r="E167" s="134">
        <f t="shared" si="76"/>
        <v>37.5</v>
      </c>
      <c r="F167" s="136">
        <f t="shared" si="77"/>
        <v>27713</v>
      </c>
      <c r="G167" s="106">
        <f t="shared" si="78"/>
        <v>16</v>
      </c>
      <c r="H167" s="112">
        <f t="shared" si="79"/>
        <v>0</v>
      </c>
      <c r="I167" s="113">
        <f t="shared" si="80"/>
        <v>443400</v>
      </c>
      <c r="J167" s="114">
        <f t="shared" si="81"/>
        <v>18.600000000000001</v>
      </c>
      <c r="K167" s="107">
        <f t="shared" si="82"/>
        <v>13877.6</v>
      </c>
      <c r="L167" s="115">
        <f t="shared" si="83"/>
        <v>3.54</v>
      </c>
      <c r="M167" s="140">
        <f t="shared" si="84"/>
        <v>9.7160871904000015</v>
      </c>
      <c r="N167" s="76"/>
      <c r="O167" s="76"/>
      <c r="P167" s="76"/>
      <c r="Q167" s="76"/>
      <c r="R167" s="141">
        <f t="shared" si="85"/>
        <v>71.825021872265964</v>
      </c>
      <c r="S167" s="117">
        <f t="shared" si="86"/>
        <v>1480.9560000000001</v>
      </c>
      <c r="T167" s="118">
        <f t="shared" si="87"/>
        <v>2797.8539999999998</v>
      </c>
      <c r="U167" s="109">
        <f t="shared" si="88"/>
        <v>15200</v>
      </c>
      <c r="V167" s="119">
        <f t="shared" si="89"/>
        <v>69388</v>
      </c>
      <c r="W167" s="120">
        <f t="shared" si="90"/>
        <v>84588</v>
      </c>
      <c r="X167" s="121">
        <f t="shared" si="91"/>
        <v>138776</v>
      </c>
      <c r="Y167" s="122">
        <f t="shared" si="92"/>
        <v>153976</v>
      </c>
      <c r="Z167" s="123">
        <f t="shared" si="93"/>
        <v>1227.6000000000001</v>
      </c>
      <c r="AA167" s="142">
        <f t="shared" si="94"/>
        <v>12276.000000000002</v>
      </c>
      <c r="AB167" s="96"/>
      <c r="AC167" s="105">
        <f t="shared" si="95"/>
        <v>0</v>
      </c>
      <c r="AD167" s="105">
        <f t="shared" si="99"/>
        <v>0</v>
      </c>
      <c r="AE167" s="105">
        <f t="shared" si="96"/>
        <v>438479.99999999994</v>
      </c>
      <c r="AF167" s="105">
        <f t="shared" si="97"/>
        <v>438479.99999999994</v>
      </c>
      <c r="AG167" s="110">
        <f t="shared" si="98"/>
        <v>30786</v>
      </c>
      <c r="AH167" s="199"/>
    </row>
    <row r="168" spans="2:34" ht="15.75" hidden="1" x14ac:dyDescent="0.25">
      <c r="B168" s="138" t="str">
        <f t="shared" si="75"/>
        <v>Munters Euroemme EM50 - 1.5hp</v>
      </c>
      <c r="C168" s="139"/>
      <c r="D168" s="139"/>
      <c r="E168" s="134">
        <f t="shared" si="76"/>
        <v>37.5</v>
      </c>
      <c r="F168" s="136">
        <f t="shared" si="77"/>
        <v>36028</v>
      </c>
      <c r="G168" s="106">
        <f t="shared" si="78"/>
        <v>13</v>
      </c>
      <c r="H168" s="112">
        <f t="shared" si="79"/>
        <v>0</v>
      </c>
      <c r="I168" s="113">
        <f t="shared" si="80"/>
        <v>468400</v>
      </c>
      <c r="J168" s="114">
        <f t="shared" si="81"/>
        <v>22.9</v>
      </c>
      <c r="K168" s="107">
        <f t="shared" si="82"/>
        <v>16841.400000000001</v>
      </c>
      <c r="L168" s="115">
        <f t="shared" si="83"/>
        <v>3.74</v>
      </c>
      <c r="M168" s="140">
        <f t="shared" si="84"/>
        <v>9.7160871904000015</v>
      </c>
      <c r="N168" s="76"/>
      <c r="O168" s="76"/>
      <c r="P168" s="76"/>
      <c r="Q168" s="76"/>
      <c r="R168" s="141">
        <f t="shared" si="85"/>
        <v>72.548264800233298</v>
      </c>
      <c r="S168" s="117">
        <f t="shared" si="86"/>
        <v>1564.4560000000001</v>
      </c>
      <c r="T168" s="118">
        <f t="shared" si="87"/>
        <v>2955.6039999999998</v>
      </c>
      <c r="U168" s="109">
        <f t="shared" si="88"/>
        <v>13676</v>
      </c>
      <c r="V168" s="119">
        <f t="shared" si="89"/>
        <v>84207</v>
      </c>
      <c r="W168" s="120">
        <f t="shared" si="90"/>
        <v>97883</v>
      </c>
      <c r="X168" s="121">
        <f t="shared" si="91"/>
        <v>168414</v>
      </c>
      <c r="Y168" s="122">
        <f t="shared" si="92"/>
        <v>182090</v>
      </c>
      <c r="Z168" s="123">
        <f t="shared" si="93"/>
        <v>1511.3999999999996</v>
      </c>
      <c r="AA168" s="142">
        <f t="shared" si="94"/>
        <v>15113.999999999996</v>
      </c>
      <c r="AB168" s="96"/>
      <c r="AC168" s="105">
        <f t="shared" si="95"/>
        <v>0</v>
      </c>
      <c r="AD168" s="105">
        <f t="shared" si="99"/>
        <v>0</v>
      </c>
      <c r="AE168" s="105">
        <f t="shared" si="96"/>
        <v>438479.99999999994</v>
      </c>
      <c r="AF168" s="105">
        <f t="shared" si="97"/>
        <v>438479.99999999994</v>
      </c>
      <c r="AG168" s="110">
        <f t="shared" si="98"/>
        <v>38272</v>
      </c>
      <c r="AH168" s="199"/>
    </row>
    <row r="169" spans="2:34" ht="15.75" hidden="1" x14ac:dyDescent="0.25">
      <c r="B169" s="138" t="str">
        <f t="shared" si="75"/>
        <v>Munters Euroemme  EC-50 (60Hz, 1 phase) CONE 1hp</v>
      </c>
      <c r="C169" s="139"/>
      <c r="D169" s="139"/>
      <c r="E169" s="134">
        <f t="shared" si="76"/>
        <v>37.5</v>
      </c>
      <c r="F169" s="136">
        <f t="shared" si="77"/>
        <v>32640</v>
      </c>
      <c r="G169" s="106">
        <f t="shared" si="78"/>
        <v>14</v>
      </c>
      <c r="H169" s="112">
        <f t="shared" si="79"/>
        <v>0</v>
      </c>
      <c r="I169" s="113">
        <f t="shared" si="80"/>
        <v>457000</v>
      </c>
      <c r="J169" s="114">
        <f t="shared" si="81"/>
        <v>14.9</v>
      </c>
      <c r="K169" s="107">
        <f t="shared" si="82"/>
        <v>11333.4</v>
      </c>
      <c r="L169" s="115">
        <f t="shared" si="83"/>
        <v>3.65</v>
      </c>
      <c r="M169" s="140">
        <f t="shared" si="84"/>
        <v>9.7160871904000015</v>
      </c>
      <c r="N169" s="76"/>
      <c r="O169" s="76"/>
      <c r="P169" s="76"/>
      <c r="Q169" s="76"/>
      <c r="R169" s="141">
        <f t="shared" si="85"/>
        <v>73.225430154564009</v>
      </c>
      <c r="S169" s="117">
        <f t="shared" si="86"/>
        <v>1526.38</v>
      </c>
      <c r="T169" s="118">
        <f t="shared" si="87"/>
        <v>2883.6699999999996</v>
      </c>
      <c r="U169" s="109">
        <f t="shared" si="88"/>
        <v>19852</v>
      </c>
      <c r="V169" s="119">
        <f t="shared" si="89"/>
        <v>56667</v>
      </c>
      <c r="W169" s="120">
        <f t="shared" si="90"/>
        <v>76519</v>
      </c>
      <c r="X169" s="121">
        <f t="shared" si="91"/>
        <v>113334</v>
      </c>
      <c r="Y169" s="122">
        <f t="shared" si="92"/>
        <v>133186</v>
      </c>
      <c r="Z169" s="123">
        <f t="shared" si="93"/>
        <v>983.40000000000009</v>
      </c>
      <c r="AA169" s="142">
        <f t="shared" si="94"/>
        <v>9834</v>
      </c>
      <c r="AB169" s="96"/>
      <c r="AC169" s="105">
        <f t="shared" si="95"/>
        <v>1</v>
      </c>
      <c r="AD169" s="105">
        <f t="shared" si="99"/>
        <v>0</v>
      </c>
      <c r="AE169" s="105">
        <f t="shared" si="96"/>
        <v>438479.99999999994</v>
      </c>
      <c r="AF169" s="105">
        <f t="shared" si="97"/>
        <v>438479.99999999994</v>
      </c>
      <c r="AG169" s="110">
        <f t="shared" si="98"/>
        <v>35870</v>
      </c>
      <c r="AH169" s="199"/>
    </row>
    <row r="170" spans="2:34" ht="15.75" hidden="1" x14ac:dyDescent="0.25">
      <c r="B170" s="138" t="str">
        <f t="shared" si="75"/>
        <v>Munters Euroemme  EC-50 CONE 1.5hp</v>
      </c>
      <c r="C170" s="139"/>
      <c r="D170" s="139"/>
      <c r="E170" s="134">
        <f t="shared" si="76"/>
        <v>37.5</v>
      </c>
      <c r="F170" s="136">
        <f t="shared" si="77"/>
        <v>40450.726029558697</v>
      </c>
      <c r="G170" s="106">
        <f t="shared" si="78"/>
        <v>11</v>
      </c>
      <c r="H170" s="112">
        <f t="shared" si="79"/>
        <v>0</v>
      </c>
      <c r="I170" s="113">
        <f t="shared" si="80"/>
        <v>445000</v>
      </c>
      <c r="J170" s="114">
        <f t="shared" si="81"/>
        <v>17.5</v>
      </c>
      <c r="K170" s="107">
        <f t="shared" si="82"/>
        <v>13115</v>
      </c>
      <c r="L170" s="115">
        <f t="shared" si="83"/>
        <v>3.55</v>
      </c>
      <c r="M170" s="140">
        <f t="shared" si="84"/>
        <v>9.7160871904000015</v>
      </c>
      <c r="N170" s="76"/>
      <c r="O170" s="76"/>
      <c r="P170" s="76"/>
      <c r="Q170" s="76"/>
      <c r="R170" s="141">
        <f t="shared" si="85"/>
        <v>68.210426449889241</v>
      </c>
      <c r="S170" s="117">
        <f t="shared" si="86"/>
        <v>1486.3</v>
      </c>
      <c r="T170" s="118">
        <f t="shared" si="87"/>
        <v>2807.95</v>
      </c>
      <c r="U170" s="109">
        <f t="shared" si="88"/>
        <v>12331</v>
      </c>
      <c r="V170" s="119">
        <f t="shared" si="89"/>
        <v>65575</v>
      </c>
      <c r="W170" s="120">
        <f t="shared" si="90"/>
        <v>77906</v>
      </c>
      <c r="X170" s="121">
        <f t="shared" si="91"/>
        <v>131150</v>
      </c>
      <c r="Y170" s="122">
        <f t="shared" si="92"/>
        <v>143481</v>
      </c>
      <c r="Z170" s="123">
        <f t="shared" si="93"/>
        <v>1155</v>
      </c>
      <c r="AA170" s="142">
        <f t="shared" si="94"/>
        <v>11550</v>
      </c>
      <c r="AB170" s="96"/>
      <c r="AC170" s="105">
        <f t="shared" si="95"/>
        <v>0</v>
      </c>
      <c r="AD170" s="105">
        <f t="shared" si="99"/>
        <v>0</v>
      </c>
      <c r="AE170" s="105">
        <f t="shared" si="96"/>
        <v>438479.99999999994</v>
      </c>
      <c r="AF170" s="105">
        <f t="shared" si="97"/>
        <v>438479.99999999994</v>
      </c>
      <c r="AG170" s="110">
        <f t="shared" si="98"/>
        <v>42526.100417576403</v>
      </c>
      <c r="AH170" s="199"/>
    </row>
    <row r="171" spans="2:34" ht="15.75" hidden="1" x14ac:dyDescent="0.25">
      <c r="B171" s="138" t="s">
        <v>141</v>
      </c>
      <c r="C171" s="138"/>
      <c r="D171" s="138"/>
      <c r="E171" s="134">
        <f>IF(B171="","",IF($H$14&gt;3.65,50,IF($H$14&gt;=3,37.5, IF($H$14&gt;=2.25,25,IF($H$14&gt;=1.5,12.5,0.05)))))</f>
        <v>37.5</v>
      </c>
      <c r="F171" s="136">
        <f t="shared" si="77"/>
        <v>36900</v>
      </c>
      <c r="G171" s="106">
        <f t="shared" si="78"/>
        <v>12</v>
      </c>
      <c r="H171" s="112">
        <f t="shared" si="79"/>
        <v>0</v>
      </c>
      <c r="I171" s="113">
        <f>+IF(F171="","",IF(H171&gt;0,ROUND(F171*H171,-2),ROUND(F171*G171,-2)))</f>
        <v>442800</v>
      </c>
      <c r="J171" s="114">
        <f t="shared" si="81"/>
        <v>13.4</v>
      </c>
      <c r="K171" s="107">
        <f t="shared" si="82"/>
        <v>10294.4</v>
      </c>
      <c r="L171" s="115">
        <f>+IF(I171="","",ROUND((I171/($C$12*($C$13+$C$14)/2)/3600),2))</f>
        <v>3.53</v>
      </c>
      <c r="M171" s="140">
        <f t="shared" si="84"/>
        <v>9.7160871904000015</v>
      </c>
      <c r="N171" s="76"/>
      <c r="O171" s="76"/>
      <c r="P171" s="76"/>
      <c r="Q171" s="76"/>
      <c r="R171" s="141">
        <f t="shared" si="85"/>
        <v>71.391076115485561</v>
      </c>
      <c r="S171" s="117">
        <f t="shared" si="86"/>
        <v>1478.952</v>
      </c>
      <c r="T171" s="118">
        <f t="shared" si="87"/>
        <v>2794.0679999999998</v>
      </c>
      <c r="U171" s="109">
        <f t="shared" si="88"/>
        <v>18600</v>
      </c>
      <c r="V171" s="119">
        <f t="shared" si="89"/>
        <v>51472</v>
      </c>
      <c r="W171" s="120">
        <f>IF(U171="","",+U171+V171)</f>
        <v>70072</v>
      </c>
      <c r="X171" s="121">
        <f>+IF(V171="","",V171*2)</f>
        <v>102944</v>
      </c>
      <c r="Y171" s="122">
        <f>+IF(U171="","",X171+U171)</f>
        <v>121544</v>
      </c>
      <c r="Z171" s="123">
        <f t="shared" si="93"/>
        <v>884.40000000000009</v>
      </c>
      <c r="AA171" s="142">
        <f t="shared" si="94"/>
        <v>8844</v>
      </c>
      <c r="AB171" s="96"/>
      <c r="AC171" s="105">
        <f t="shared" si="95"/>
        <v>3</v>
      </c>
      <c r="AD171" s="105">
        <f t="shared" si="99"/>
        <v>0</v>
      </c>
      <c r="AE171" s="105">
        <f t="shared" si="96"/>
        <v>438479.99999999994</v>
      </c>
      <c r="AF171" s="105">
        <f t="shared" si="97"/>
        <v>438479.99999999994</v>
      </c>
      <c r="AG171" s="110">
        <f t="shared" si="98"/>
        <v>40800</v>
      </c>
      <c r="AH171" s="199"/>
    </row>
    <row r="172" spans="2:34" ht="15.75" hidden="1" x14ac:dyDescent="0.25">
      <c r="B172" s="138" t="s">
        <v>142</v>
      </c>
      <c r="C172" s="138"/>
      <c r="D172" s="138"/>
      <c r="E172" s="134">
        <f>IF(B172="","",IF($H$14&gt;3.65,50,IF($H$14&gt;=3,37.5, IF($H$14&gt;=2.25,25,IF($H$14&gt;=1.5,12.5,0.05)))))</f>
        <v>37.5</v>
      </c>
      <c r="F172" s="136">
        <f t="shared" si="77"/>
        <v>30300</v>
      </c>
      <c r="G172" s="106">
        <f t="shared" si="78"/>
        <v>15</v>
      </c>
      <c r="H172" s="112">
        <f t="shared" si="79"/>
        <v>0</v>
      </c>
      <c r="I172" s="113">
        <f>+IF(F172="","",IF(H172&gt;0,ROUND(F172*H172,-2),ROUND(F172*G172,-2)))</f>
        <v>454500</v>
      </c>
      <c r="J172" s="114">
        <f t="shared" si="81"/>
        <v>17.3</v>
      </c>
      <c r="K172" s="107">
        <f t="shared" si="82"/>
        <v>12981.8</v>
      </c>
      <c r="L172" s="115">
        <f>+IF(I172="","",ROUND((I172/($C$12*($C$13+$C$14)/2)/3600),2))</f>
        <v>3.63</v>
      </c>
      <c r="M172" s="140">
        <f t="shared" si="84"/>
        <v>9.7160871904000015</v>
      </c>
      <c r="N172" s="76"/>
      <c r="O172" s="76"/>
      <c r="P172" s="76"/>
      <c r="Q172" s="76"/>
      <c r="R172" s="141">
        <f t="shared" si="85"/>
        <v>80.489938757655295</v>
      </c>
      <c r="S172" s="117">
        <f t="shared" si="86"/>
        <v>1518.03</v>
      </c>
      <c r="T172" s="118">
        <f t="shared" si="87"/>
        <v>2867.895</v>
      </c>
      <c r="U172" s="109">
        <f t="shared" si="88"/>
        <v>22500</v>
      </c>
      <c r="V172" s="119">
        <f t="shared" si="89"/>
        <v>64909</v>
      </c>
      <c r="W172" s="120">
        <f>IF(U172="","",+U172+V172)</f>
        <v>87409</v>
      </c>
      <c r="X172" s="121">
        <f>+IF(V172="","",V172*2)</f>
        <v>129818</v>
      </c>
      <c r="Y172" s="122">
        <f>+IF(U172="","",X172+U172)</f>
        <v>152318</v>
      </c>
      <c r="Z172" s="123">
        <f t="shared" si="93"/>
        <v>1141.8000000000002</v>
      </c>
      <c r="AA172" s="142">
        <f t="shared" si="94"/>
        <v>11418.000000000002</v>
      </c>
      <c r="AB172" s="96"/>
      <c r="AC172" s="105">
        <f t="shared" si="95"/>
        <v>0</v>
      </c>
      <c r="AD172" s="105">
        <f t="shared" si="99"/>
        <v>0</v>
      </c>
      <c r="AE172" s="105">
        <f t="shared" si="96"/>
        <v>438479.99999999994</v>
      </c>
      <c r="AF172" s="105">
        <f t="shared" si="97"/>
        <v>438479.99999999994</v>
      </c>
      <c r="AG172" s="110">
        <f t="shared" si="98"/>
        <v>36800</v>
      </c>
      <c r="AH172" s="199"/>
    </row>
    <row r="173" spans="2:34" ht="15.75" hidden="1" x14ac:dyDescent="0.25">
      <c r="B173" s="138" t="s">
        <v>143</v>
      </c>
      <c r="C173" s="138"/>
      <c r="D173" s="138"/>
      <c r="E173" s="134">
        <f>IF(B173="","",IF($H$14&gt;3.65,50,IF($H$14&gt;=3,37.5, IF($H$14&gt;=2.25,25,IF($H$14&gt;=1.5,12.5,0.05)))))</f>
        <v>37.5</v>
      </c>
      <c r="F173" s="136">
        <f t="shared" si="77"/>
        <v>37900</v>
      </c>
      <c r="G173" s="106">
        <f t="shared" si="78"/>
        <v>12</v>
      </c>
      <c r="H173" s="112">
        <f t="shared" si="79"/>
        <v>0</v>
      </c>
      <c r="I173" s="113">
        <f>+IF(F173="","",IF(H173&gt;0,ROUND(F173*H173,-2),ROUND(F173*G173,-2)))</f>
        <v>454800</v>
      </c>
      <c r="J173" s="114">
        <f t="shared" si="81"/>
        <v>16.5</v>
      </c>
      <c r="K173" s="107">
        <f t="shared" si="82"/>
        <v>12459</v>
      </c>
      <c r="L173" s="115">
        <f>+IF(I173="","",ROUND((I173/($C$12*($C$13+$C$14)/2)/3600),2))</f>
        <v>3.63</v>
      </c>
      <c r="M173" s="140">
        <f t="shared" si="84"/>
        <v>9.7160871904000015</v>
      </c>
      <c r="N173" s="76"/>
      <c r="O173" s="76"/>
      <c r="P173" s="76"/>
      <c r="Q173" s="76"/>
      <c r="R173" s="141">
        <f t="shared" si="85"/>
        <v>72.615923009623799</v>
      </c>
      <c r="S173" s="117">
        <f t="shared" si="86"/>
        <v>1519.0320000000002</v>
      </c>
      <c r="T173" s="118">
        <f t="shared" si="87"/>
        <v>2869.788</v>
      </c>
      <c r="U173" s="109">
        <f t="shared" si="88"/>
        <v>18000</v>
      </c>
      <c r="V173" s="119">
        <f t="shared" si="89"/>
        <v>62295</v>
      </c>
      <c r="W173" s="120">
        <f>IF(U173="","",+U173+V173)</f>
        <v>80295</v>
      </c>
      <c r="X173" s="121">
        <f>+IF(V173="","",V173*2)</f>
        <v>124590</v>
      </c>
      <c r="Y173" s="122">
        <f>+IF(U173="","",X173+U173)</f>
        <v>142590</v>
      </c>
      <c r="Z173" s="123">
        <f t="shared" si="93"/>
        <v>1089</v>
      </c>
      <c r="AA173" s="142">
        <f t="shared" si="94"/>
        <v>10890</v>
      </c>
      <c r="AB173" s="96"/>
      <c r="AC173" s="105">
        <f t="shared" si="95"/>
        <v>0</v>
      </c>
      <c r="AD173" s="105">
        <f t="shared" si="99"/>
        <v>0</v>
      </c>
      <c r="AE173" s="105">
        <f t="shared" si="96"/>
        <v>438479.99999999994</v>
      </c>
      <c r="AF173" s="105">
        <f t="shared" si="97"/>
        <v>438479.99999999994</v>
      </c>
      <c r="AG173" s="110">
        <f t="shared" si="98"/>
        <v>41500</v>
      </c>
      <c r="AH173" s="199"/>
    </row>
    <row r="174" spans="2:34" ht="15.75" hidden="1" x14ac:dyDescent="0.25">
      <c r="B174" s="138" t="str">
        <f t="shared" ref="B174:B187" si="100">IF(B70="","",B70)</f>
        <v>American Coolair MNBF60M (60Hz) 1.5 hp</v>
      </c>
      <c r="C174" s="139"/>
      <c r="D174" s="139"/>
      <c r="E174" s="134">
        <f t="shared" si="76"/>
        <v>37.5</v>
      </c>
      <c r="F174" s="136">
        <f t="shared" si="77"/>
        <v>41310</v>
      </c>
      <c r="G174" s="106">
        <f t="shared" si="78"/>
        <v>11</v>
      </c>
      <c r="H174" s="112">
        <f t="shared" si="79"/>
        <v>0</v>
      </c>
      <c r="I174" s="113">
        <f t="shared" si="80"/>
        <v>454400</v>
      </c>
      <c r="J174" s="114">
        <f t="shared" si="81"/>
        <v>16.2</v>
      </c>
      <c r="K174" s="107">
        <f t="shared" si="82"/>
        <v>12249.2</v>
      </c>
      <c r="L174" s="115">
        <f t="shared" si="83"/>
        <v>3.63</v>
      </c>
      <c r="M174" s="140">
        <f t="shared" si="84"/>
        <v>9.7160871904000015</v>
      </c>
      <c r="N174" s="76"/>
      <c r="O174" s="76"/>
      <c r="P174" s="76"/>
      <c r="Q174" s="76"/>
      <c r="R174" s="141">
        <f t="shared" si="85"/>
        <v>73.89472149314669</v>
      </c>
      <c r="S174" s="117">
        <f t="shared" si="86"/>
        <v>1517.6960000000001</v>
      </c>
      <c r="T174" s="118">
        <f t="shared" si="87"/>
        <v>2867.2639999999997</v>
      </c>
      <c r="U174" s="109">
        <f t="shared" si="88"/>
        <v>24079</v>
      </c>
      <c r="V174" s="119">
        <f t="shared" si="89"/>
        <v>61246</v>
      </c>
      <c r="W174" s="120">
        <f t="shared" si="90"/>
        <v>85325</v>
      </c>
      <c r="X174" s="121">
        <f t="shared" si="91"/>
        <v>122492</v>
      </c>
      <c r="Y174" s="122">
        <f t="shared" si="92"/>
        <v>146571</v>
      </c>
      <c r="Z174" s="123">
        <f t="shared" si="93"/>
        <v>1069.1999999999998</v>
      </c>
      <c r="AA174" s="142">
        <f t="shared" si="94"/>
        <v>10691.999999999998</v>
      </c>
      <c r="AB174" s="96"/>
      <c r="AC174" s="105">
        <f t="shared" si="95"/>
        <v>0</v>
      </c>
      <c r="AD174" s="105">
        <f>+IF(OR(H106="",E106=""),"",IF(N174&gt;0.82,4,IF(N174&gt;0.77,3,IF(N174&gt;0.72,2,IF(N174&gt;=0.7,1,0)))))</f>
        <v>0</v>
      </c>
      <c r="AE174" s="105">
        <f t="shared" si="96"/>
        <v>438479.99999999994</v>
      </c>
      <c r="AF174" s="105">
        <f t="shared" si="97"/>
        <v>438479.99999999994</v>
      </c>
      <c r="AG174" s="110">
        <f t="shared" si="98"/>
        <v>46070</v>
      </c>
      <c r="AH174" s="199"/>
    </row>
    <row r="175" spans="2:34" ht="15.75" hidden="1" x14ac:dyDescent="0.25">
      <c r="B175" s="138" t="str">
        <f t="shared" si="100"/>
        <v>American Coolair MNBFC60M (60Hz) CONE 1.5 hp</v>
      </c>
      <c r="C175" s="139"/>
      <c r="D175" s="139"/>
      <c r="E175" s="134">
        <f t="shared" si="76"/>
        <v>37.5</v>
      </c>
      <c r="F175" s="136">
        <f t="shared" si="77"/>
        <v>44880</v>
      </c>
      <c r="G175" s="106">
        <f t="shared" si="78"/>
        <v>10</v>
      </c>
      <c r="H175" s="112">
        <f t="shared" si="79"/>
        <v>0</v>
      </c>
      <c r="I175" s="113">
        <f t="shared" si="80"/>
        <v>448800</v>
      </c>
      <c r="J175" s="114">
        <f t="shared" si="81"/>
        <v>14.9</v>
      </c>
      <c r="K175" s="107">
        <f t="shared" si="82"/>
        <v>11313.4</v>
      </c>
      <c r="L175" s="115">
        <f t="shared" si="83"/>
        <v>3.58</v>
      </c>
      <c r="M175" s="140">
        <f t="shared" si="84"/>
        <v>9.7160871904000015</v>
      </c>
      <c r="N175" s="76"/>
      <c r="O175" s="76"/>
      <c r="P175" s="76"/>
      <c r="Q175" s="76"/>
      <c r="R175" s="141">
        <f t="shared" si="85"/>
        <v>73.374161563137946</v>
      </c>
      <c r="S175" s="117">
        <f t="shared" si="86"/>
        <v>1498.992</v>
      </c>
      <c r="T175" s="118">
        <f t="shared" si="87"/>
        <v>2831.9279999999999</v>
      </c>
      <c r="U175" s="109">
        <f t="shared" si="88"/>
        <v>24450</v>
      </c>
      <c r="V175" s="119">
        <f t="shared" si="89"/>
        <v>56567</v>
      </c>
      <c r="W175" s="120">
        <f t="shared" si="90"/>
        <v>81017</v>
      </c>
      <c r="X175" s="121">
        <f t="shared" si="91"/>
        <v>113134</v>
      </c>
      <c r="Y175" s="122">
        <f t="shared" si="92"/>
        <v>137584</v>
      </c>
      <c r="Z175" s="123">
        <f t="shared" si="93"/>
        <v>983.40000000000009</v>
      </c>
      <c r="AA175" s="142">
        <f t="shared" si="94"/>
        <v>9834</v>
      </c>
      <c r="AB175" s="96"/>
      <c r="AC175" s="105">
        <f t="shared" si="95"/>
        <v>1</v>
      </c>
      <c r="AD175" s="105">
        <f>+IF(OR(H107="",E107=""),"",IF(N175&gt;0.82,4,IF(N175&gt;0.77,3,IF(N175&gt;0.72,2,IF(N175&gt;=0.7,1,0)))))</f>
        <v>0</v>
      </c>
      <c r="AE175" s="105">
        <f t="shared" si="96"/>
        <v>438479.99999999994</v>
      </c>
      <c r="AF175" s="105">
        <f t="shared" si="97"/>
        <v>438479.99999999994</v>
      </c>
      <c r="AG175" s="110">
        <f t="shared" si="98"/>
        <v>50320</v>
      </c>
      <c r="AH175" s="199"/>
    </row>
    <row r="176" spans="2:34" ht="15.75" hidden="1" x14ac:dyDescent="0.25">
      <c r="B176" s="138" t="str">
        <f t="shared" si="100"/>
        <v>American Coolair MNBFA54L (60Hz) 1hp</v>
      </c>
      <c r="C176" s="139"/>
      <c r="D176" s="139"/>
      <c r="E176" s="134">
        <f t="shared" si="76"/>
        <v>37.5</v>
      </c>
      <c r="F176" s="136">
        <f t="shared" si="77"/>
        <v>34690.199999999997</v>
      </c>
      <c r="G176" s="106">
        <f t="shared" si="78"/>
        <v>13</v>
      </c>
      <c r="H176" s="112">
        <f t="shared" si="79"/>
        <v>0</v>
      </c>
      <c r="I176" s="113">
        <f t="shared" si="80"/>
        <v>451000</v>
      </c>
      <c r="J176" s="114">
        <f t="shared" si="81"/>
        <v>15</v>
      </c>
      <c r="K176" s="107">
        <f t="shared" si="82"/>
        <v>11390</v>
      </c>
      <c r="L176" s="115">
        <f t="shared" si="83"/>
        <v>3.6</v>
      </c>
      <c r="M176" s="140">
        <f t="shared" si="84"/>
        <v>9.7160871904000015</v>
      </c>
      <c r="N176" s="76"/>
      <c r="O176" s="76"/>
      <c r="P176" s="76"/>
      <c r="Q176" s="76"/>
      <c r="R176" s="141">
        <f t="shared" si="85"/>
        <v>71.378681831437731</v>
      </c>
      <c r="S176" s="117">
        <f t="shared" si="86"/>
        <v>1506.3400000000001</v>
      </c>
      <c r="T176" s="118">
        <f t="shared" si="87"/>
        <v>2845.81</v>
      </c>
      <c r="U176" s="109">
        <f t="shared" si="88"/>
        <v>22854</v>
      </c>
      <c r="V176" s="119">
        <f t="shared" si="89"/>
        <v>56950</v>
      </c>
      <c r="W176" s="120">
        <f t="shared" si="90"/>
        <v>79804</v>
      </c>
      <c r="X176" s="121">
        <f t="shared" si="91"/>
        <v>113900</v>
      </c>
      <c r="Y176" s="122">
        <f t="shared" si="92"/>
        <v>136754</v>
      </c>
      <c r="Z176" s="123">
        <f t="shared" si="93"/>
        <v>990</v>
      </c>
      <c r="AA176" s="142">
        <f t="shared" si="94"/>
        <v>9900</v>
      </c>
      <c r="AB176" s="96"/>
      <c r="AC176" s="105">
        <f t="shared" si="95"/>
        <v>1</v>
      </c>
      <c r="AD176" s="105">
        <f t="shared" ref="AD176:AD183" si="101">+IF(OR(H111="",E111=""),"",IF(N176&gt;0.82,4,IF(N176&gt;0.77,3,IF(N176&gt;0.72,2,IF(N176&gt;=0.7,1,0)))))</f>
        <v>0</v>
      </c>
      <c r="AE176" s="105">
        <f t="shared" si="96"/>
        <v>438479.99999999994</v>
      </c>
      <c r="AF176" s="105">
        <f t="shared" si="97"/>
        <v>438479.99999999994</v>
      </c>
      <c r="AG176" s="110">
        <f t="shared" si="98"/>
        <v>37655</v>
      </c>
      <c r="AH176" s="199"/>
    </row>
    <row r="177" spans="2:34" ht="15.75" hidden="1" x14ac:dyDescent="0.25">
      <c r="B177" s="138" t="str">
        <f t="shared" si="100"/>
        <v>American Coolair MNBFA54M (60Hz) 1.5hp)</v>
      </c>
      <c r="C177" s="139"/>
      <c r="D177" s="139"/>
      <c r="E177" s="134">
        <f t="shared" si="76"/>
        <v>37.5</v>
      </c>
      <c r="F177" s="136">
        <f t="shared" si="77"/>
        <v>40294</v>
      </c>
      <c r="G177" s="106">
        <f t="shared" si="78"/>
        <v>11</v>
      </c>
      <c r="H177" s="112">
        <f t="shared" si="79"/>
        <v>0</v>
      </c>
      <c r="I177" s="113">
        <f t="shared" si="80"/>
        <v>443200</v>
      </c>
      <c r="J177" s="114">
        <f t="shared" si="81"/>
        <v>17.8</v>
      </c>
      <c r="K177" s="107">
        <f t="shared" si="82"/>
        <v>13354.8</v>
      </c>
      <c r="L177" s="115">
        <f t="shared" si="83"/>
        <v>3.54</v>
      </c>
      <c r="M177" s="140">
        <f t="shared" si="84"/>
        <v>9.7160871904000015</v>
      </c>
      <c r="N177" s="76"/>
      <c r="O177" s="76"/>
      <c r="P177" s="76"/>
      <c r="Q177" s="76"/>
      <c r="R177" s="141">
        <f t="shared" si="85"/>
        <v>68.521434820647414</v>
      </c>
      <c r="S177" s="117">
        <f t="shared" si="86"/>
        <v>1480.288</v>
      </c>
      <c r="T177" s="118">
        <f t="shared" si="87"/>
        <v>2796.5919999999996</v>
      </c>
      <c r="U177" s="109">
        <f t="shared" si="88"/>
        <v>20130</v>
      </c>
      <c r="V177" s="119">
        <f t="shared" si="89"/>
        <v>66774</v>
      </c>
      <c r="W177" s="120">
        <f t="shared" si="90"/>
        <v>86904</v>
      </c>
      <c r="X177" s="121">
        <f t="shared" si="91"/>
        <v>133548</v>
      </c>
      <c r="Y177" s="122">
        <f t="shared" si="92"/>
        <v>153678</v>
      </c>
      <c r="Z177" s="123">
        <f t="shared" si="93"/>
        <v>1174.8000000000002</v>
      </c>
      <c r="AA177" s="142">
        <f t="shared" si="94"/>
        <v>11748.000000000002</v>
      </c>
      <c r="AB177" s="96"/>
      <c r="AC177" s="105">
        <f t="shared" si="95"/>
        <v>0</v>
      </c>
      <c r="AD177" s="105">
        <f t="shared" si="101"/>
        <v>0</v>
      </c>
      <c r="AE177" s="105">
        <f t="shared" si="96"/>
        <v>438479.99999999994</v>
      </c>
      <c r="AF177" s="105">
        <f t="shared" si="97"/>
        <v>438479.99999999994</v>
      </c>
      <c r="AG177" s="110">
        <f t="shared" si="98"/>
        <v>42720</v>
      </c>
      <c r="AH177" s="199"/>
    </row>
    <row r="178" spans="2:34" ht="15.75" hidden="1" x14ac:dyDescent="0.25">
      <c r="B178" s="138" t="str">
        <f t="shared" si="100"/>
        <v>American Coolair MNBFA54N (60Hz) 2hp</v>
      </c>
      <c r="C178" s="139"/>
      <c r="D178" s="139"/>
      <c r="E178" s="134">
        <f t="shared" si="76"/>
        <v>37.5</v>
      </c>
      <c r="F178" s="136">
        <f t="shared" si="77"/>
        <v>44529</v>
      </c>
      <c r="G178" s="106">
        <f t="shared" si="78"/>
        <v>10</v>
      </c>
      <c r="H178" s="112">
        <f t="shared" si="79"/>
        <v>0</v>
      </c>
      <c r="I178" s="113">
        <f t="shared" si="80"/>
        <v>445300</v>
      </c>
      <c r="J178" s="114">
        <f t="shared" si="81"/>
        <v>23.2</v>
      </c>
      <c r="K178" s="107">
        <f t="shared" si="82"/>
        <v>17091.2</v>
      </c>
      <c r="L178" s="115">
        <f t="shared" si="83"/>
        <v>3.55</v>
      </c>
      <c r="M178" s="140">
        <f t="shared" si="84"/>
        <v>9.7160871904000015</v>
      </c>
      <c r="N178" s="76"/>
      <c r="O178" s="76"/>
      <c r="P178" s="76"/>
      <c r="Q178" s="76"/>
      <c r="R178" s="141">
        <f t="shared" si="85"/>
        <v>68.111694371536885</v>
      </c>
      <c r="S178" s="117">
        <f t="shared" si="86"/>
        <v>1487.3020000000001</v>
      </c>
      <c r="T178" s="118">
        <f t="shared" si="87"/>
        <v>2809.8429999999998</v>
      </c>
      <c r="U178" s="109">
        <f t="shared" si="88"/>
        <v>18920</v>
      </c>
      <c r="V178" s="119">
        <f t="shared" si="89"/>
        <v>85456</v>
      </c>
      <c r="W178" s="120">
        <f t="shared" si="90"/>
        <v>104376</v>
      </c>
      <c r="X178" s="121">
        <f t="shared" si="91"/>
        <v>170912</v>
      </c>
      <c r="Y178" s="122">
        <f t="shared" si="92"/>
        <v>189832</v>
      </c>
      <c r="Z178" s="123">
        <f t="shared" si="93"/>
        <v>1531.1999999999998</v>
      </c>
      <c r="AA178" s="142">
        <f t="shared" si="94"/>
        <v>15311.999999999998</v>
      </c>
      <c r="AB178" s="96"/>
      <c r="AC178" s="105">
        <f t="shared" si="95"/>
        <v>0</v>
      </c>
      <c r="AD178" s="105">
        <f t="shared" si="101"/>
        <v>0</v>
      </c>
      <c r="AE178" s="105">
        <f t="shared" si="96"/>
        <v>438479.99999999994</v>
      </c>
      <c r="AF178" s="105">
        <f t="shared" si="97"/>
        <v>438479.99999999994</v>
      </c>
      <c r="AG178" s="110">
        <f t="shared" si="98"/>
        <v>46711</v>
      </c>
      <c r="AH178" s="199"/>
    </row>
    <row r="179" spans="2:34" ht="15.75" hidden="1" x14ac:dyDescent="0.25">
      <c r="B179" s="138" t="str">
        <f t="shared" si="100"/>
        <v>American Coolair MNBFA48L (60Hz) 1hp with CONE</v>
      </c>
      <c r="C179" s="139"/>
      <c r="D179" s="139"/>
      <c r="E179" s="134">
        <f t="shared" si="76"/>
        <v>37.5</v>
      </c>
      <c r="F179" s="136">
        <f t="shared" si="77"/>
        <v>26651</v>
      </c>
      <c r="G179" s="106">
        <f t="shared" si="78"/>
        <v>17</v>
      </c>
      <c r="H179" s="112">
        <f t="shared" si="79"/>
        <v>0</v>
      </c>
      <c r="I179" s="113">
        <f t="shared" si="80"/>
        <v>453100</v>
      </c>
      <c r="J179" s="114">
        <f t="shared" si="81"/>
        <v>15.8</v>
      </c>
      <c r="K179" s="107">
        <f t="shared" si="82"/>
        <v>11932.8</v>
      </c>
      <c r="L179" s="115">
        <f t="shared" si="83"/>
        <v>3.62</v>
      </c>
      <c r="M179" s="140">
        <f t="shared" si="84"/>
        <v>9.7160871904000015</v>
      </c>
      <c r="N179" s="76"/>
      <c r="O179" s="76"/>
      <c r="P179" s="76"/>
      <c r="Q179" s="76"/>
      <c r="R179" s="141">
        <f t="shared" si="85"/>
        <v>72.018226888305634</v>
      </c>
      <c r="S179" s="117">
        <f t="shared" si="86"/>
        <v>1513.354</v>
      </c>
      <c r="T179" s="118">
        <f t="shared" si="87"/>
        <v>2859.0609999999997</v>
      </c>
      <c r="U179" s="109">
        <f t="shared" si="88"/>
        <v>24786</v>
      </c>
      <c r="V179" s="119">
        <f t="shared" si="89"/>
        <v>59664</v>
      </c>
      <c r="W179" s="120">
        <f t="shared" si="90"/>
        <v>84450</v>
      </c>
      <c r="X179" s="121">
        <f t="shared" si="91"/>
        <v>119328</v>
      </c>
      <c r="Y179" s="122">
        <f t="shared" si="92"/>
        <v>144114</v>
      </c>
      <c r="Z179" s="123">
        <f t="shared" si="93"/>
        <v>1042.8000000000002</v>
      </c>
      <c r="AA179" s="142">
        <f t="shared" si="94"/>
        <v>10428.000000000002</v>
      </c>
      <c r="AB179" s="96"/>
      <c r="AC179" s="105">
        <f t="shared" si="95"/>
        <v>0</v>
      </c>
      <c r="AD179" s="105">
        <f t="shared" si="101"/>
        <v>0</v>
      </c>
      <c r="AE179" s="105">
        <f t="shared" si="96"/>
        <v>438479.99999999994</v>
      </c>
      <c r="AF179" s="105">
        <f t="shared" si="97"/>
        <v>438479.99999999994</v>
      </c>
      <c r="AG179" s="110">
        <f t="shared" si="98"/>
        <v>29053</v>
      </c>
      <c r="AH179" s="199"/>
    </row>
    <row r="180" spans="2:34" ht="15.75" hidden="1" x14ac:dyDescent="0.25">
      <c r="B180" s="138" t="str">
        <f t="shared" si="100"/>
        <v>American Coolair MNCFC52L (60Hz) CONE 1hp</v>
      </c>
      <c r="C180" s="139"/>
      <c r="D180" s="139"/>
      <c r="E180" s="134">
        <f t="shared" si="76"/>
        <v>37.5</v>
      </c>
      <c r="F180" s="136">
        <f t="shared" si="77"/>
        <v>33150</v>
      </c>
      <c r="G180" s="106">
        <f t="shared" si="78"/>
        <v>14</v>
      </c>
      <c r="H180" s="112">
        <f t="shared" si="79"/>
        <v>0</v>
      </c>
      <c r="I180" s="113">
        <f t="shared" si="80"/>
        <v>464100</v>
      </c>
      <c r="J180" s="114">
        <f t="shared" si="81"/>
        <v>17.3</v>
      </c>
      <c r="K180" s="107">
        <f t="shared" si="82"/>
        <v>12971.8</v>
      </c>
      <c r="L180" s="115">
        <f t="shared" si="83"/>
        <v>3.7</v>
      </c>
      <c r="M180" s="140">
        <f t="shared" si="84"/>
        <v>9.7160871904000015</v>
      </c>
      <c r="N180" s="76"/>
      <c r="O180" s="76"/>
      <c r="P180" s="76"/>
      <c r="Q180" s="76"/>
      <c r="R180" s="141">
        <f t="shared" si="85"/>
        <v>76.695829687955666</v>
      </c>
      <c r="S180" s="117">
        <f t="shared" si="86"/>
        <v>1550.0940000000001</v>
      </c>
      <c r="T180" s="118">
        <f t="shared" si="87"/>
        <v>2928.471</v>
      </c>
      <c r="U180" s="109">
        <f t="shared" si="88"/>
        <v>23912</v>
      </c>
      <c r="V180" s="119">
        <f t="shared" si="89"/>
        <v>64859</v>
      </c>
      <c r="W180" s="120">
        <f t="shared" si="90"/>
        <v>88771</v>
      </c>
      <c r="X180" s="121">
        <f t="shared" si="91"/>
        <v>129718</v>
      </c>
      <c r="Y180" s="122">
        <f t="shared" si="92"/>
        <v>153630</v>
      </c>
      <c r="Z180" s="123">
        <f t="shared" si="93"/>
        <v>1141.8000000000002</v>
      </c>
      <c r="AA180" s="142">
        <f t="shared" si="94"/>
        <v>11418.000000000002</v>
      </c>
      <c r="AB180" s="96"/>
      <c r="AC180" s="105">
        <f t="shared" si="95"/>
        <v>0</v>
      </c>
      <c r="AD180" s="105">
        <f t="shared" si="101"/>
        <v>0</v>
      </c>
      <c r="AE180" s="105">
        <f t="shared" si="96"/>
        <v>438479.99999999994</v>
      </c>
      <c r="AF180" s="105">
        <f t="shared" si="97"/>
        <v>438479.99999999994</v>
      </c>
      <c r="AG180" s="110">
        <f t="shared" si="98"/>
        <v>37570</v>
      </c>
      <c r="AH180" s="199"/>
    </row>
    <row r="181" spans="2:34" ht="16.5" hidden="1" customHeight="1" x14ac:dyDescent="0.25">
      <c r="B181" s="138" t="str">
        <f t="shared" si="100"/>
        <v>American Coolair MNBCCE54L (60 Hz) CONE 1hp</v>
      </c>
      <c r="C181" s="139"/>
      <c r="D181" s="139"/>
      <c r="E181" s="134">
        <f t="shared" si="76"/>
        <v>37.5</v>
      </c>
      <c r="F181" s="136">
        <f t="shared" si="77"/>
        <v>36019</v>
      </c>
      <c r="G181" s="106">
        <f t="shared" si="78"/>
        <v>13</v>
      </c>
      <c r="H181" s="112">
        <f t="shared" si="79"/>
        <v>0</v>
      </c>
      <c r="I181" s="113">
        <f t="shared" si="80"/>
        <v>468200</v>
      </c>
      <c r="J181" s="114">
        <f t="shared" si="81"/>
        <v>11.3</v>
      </c>
      <c r="K181" s="107">
        <f t="shared" si="82"/>
        <v>8845.7999999999993</v>
      </c>
      <c r="L181" s="115">
        <f t="shared" si="83"/>
        <v>3.74</v>
      </c>
      <c r="M181" s="140">
        <f t="shared" si="84"/>
        <v>9.7160871904000015</v>
      </c>
      <c r="N181" s="76"/>
      <c r="O181" s="76"/>
      <c r="P181" s="76"/>
      <c r="Q181" s="76"/>
      <c r="R181" s="141">
        <f t="shared" si="85"/>
        <v>76.328083989501309</v>
      </c>
      <c r="S181" s="117">
        <f t="shared" si="86"/>
        <v>1563.788</v>
      </c>
      <c r="T181" s="118">
        <f t="shared" si="87"/>
        <v>2954.3419999999996</v>
      </c>
      <c r="U181" s="109">
        <f t="shared" si="88"/>
        <v>24544</v>
      </c>
      <c r="V181" s="119">
        <f t="shared" si="89"/>
        <v>44229</v>
      </c>
      <c r="W181" s="120">
        <f t="shared" si="90"/>
        <v>68773</v>
      </c>
      <c r="X181" s="121">
        <f t="shared" si="91"/>
        <v>88458</v>
      </c>
      <c r="Y181" s="122">
        <f t="shared" si="92"/>
        <v>113002</v>
      </c>
      <c r="Z181" s="123">
        <f t="shared" si="93"/>
        <v>745.80000000000018</v>
      </c>
      <c r="AA181" s="142">
        <f t="shared" si="94"/>
        <v>7458.0000000000018</v>
      </c>
      <c r="AB181" s="96"/>
      <c r="AC181" s="105">
        <f t="shared" si="95"/>
        <v>4</v>
      </c>
      <c r="AD181" s="105">
        <f t="shared" si="101"/>
        <v>0</v>
      </c>
      <c r="AE181" s="105">
        <f t="shared" si="96"/>
        <v>438479.99999999994</v>
      </c>
      <c r="AF181" s="105">
        <f t="shared" si="97"/>
        <v>438479.99999999994</v>
      </c>
      <c r="AG181" s="110">
        <f t="shared" si="98"/>
        <v>40266</v>
      </c>
      <c r="AH181" s="199"/>
    </row>
    <row r="182" spans="2:34" ht="15.75" hidden="1" x14ac:dyDescent="0.25">
      <c r="B182" s="138" t="str">
        <f t="shared" si="100"/>
        <v>American Coolair MNCFE52L (60Hz) 1hp</v>
      </c>
      <c r="C182" s="139"/>
      <c r="D182" s="139"/>
      <c r="E182" s="134">
        <f t="shared" si="76"/>
        <v>37.5</v>
      </c>
      <c r="F182" s="136">
        <f t="shared" si="77"/>
        <v>28050</v>
      </c>
      <c r="G182" s="106">
        <f t="shared" si="78"/>
        <v>16</v>
      </c>
      <c r="H182" s="112">
        <f t="shared" si="79"/>
        <v>0</v>
      </c>
      <c r="I182" s="113">
        <f t="shared" si="80"/>
        <v>448800</v>
      </c>
      <c r="J182" s="114">
        <f t="shared" si="81"/>
        <v>15.4</v>
      </c>
      <c r="K182" s="107">
        <f t="shared" si="82"/>
        <v>11686.4</v>
      </c>
      <c r="L182" s="115">
        <f t="shared" si="83"/>
        <v>3.58</v>
      </c>
      <c r="M182" s="140">
        <f t="shared" si="84"/>
        <v>9.7160871904000015</v>
      </c>
      <c r="N182" s="76"/>
      <c r="O182" s="76"/>
      <c r="P182" s="76"/>
      <c r="Q182" s="76"/>
      <c r="R182" s="141">
        <f t="shared" si="85"/>
        <v>75.357247010790317</v>
      </c>
      <c r="S182" s="117">
        <f t="shared" si="86"/>
        <v>1498.992</v>
      </c>
      <c r="T182" s="118">
        <f t="shared" si="87"/>
        <v>2831.9279999999999</v>
      </c>
      <c r="U182" s="109">
        <f t="shared" si="88"/>
        <v>23520</v>
      </c>
      <c r="V182" s="119">
        <f t="shared" si="89"/>
        <v>58432</v>
      </c>
      <c r="W182" s="120">
        <f t="shared" si="90"/>
        <v>81952</v>
      </c>
      <c r="X182" s="121">
        <f t="shared" si="91"/>
        <v>116864</v>
      </c>
      <c r="Y182" s="122">
        <f t="shared" si="92"/>
        <v>140384</v>
      </c>
      <c r="Z182" s="123">
        <f t="shared" si="93"/>
        <v>1016.4000000000001</v>
      </c>
      <c r="AA182" s="142">
        <f t="shared" si="94"/>
        <v>10164</v>
      </c>
      <c r="AB182" s="96"/>
      <c r="AC182" s="105">
        <f t="shared" si="95"/>
        <v>1</v>
      </c>
      <c r="AD182" s="105">
        <f t="shared" si="101"/>
        <v>0</v>
      </c>
      <c r="AE182" s="105">
        <f t="shared" si="96"/>
        <v>438479.99999999994</v>
      </c>
      <c r="AF182" s="105">
        <f t="shared" si="97"/>
        <v>438479.99999999994</v>
      </c>
      <c r="AG182" s="110">
        <f t="shared" si="98"/>
        <v>32300</v>
      </c>
      <c r="AH182" s="199"/>
    </row>
    <row r="183" spans="2:34" ht="15.75" hidden="1" x14ac:dyDescent="0.25">
      <c r="B183" s="138" t="str">
        <f t="shared" si="100"/>
        <v>Chore-Time 52157-51 (54", 1.5hp, 3 blade) CONE</v>
      </c>
      <c r="C183" s="139"/>
      <c r="D183" s="139"/>
      <c r="E183" s="134">
        <f t="shared" si="76"/>
        <v>37.5</v>
      </c>
      <c r="F183" s="136">
        <f t="shared" si="77"/>
        <v>43834</v>
      </c>
      <c r="G183" s="106">
        <f t="shared" si="78"/>
        <v>11</v>
      </c>
      <c r="H183" s="112">
        <f t="shared" si="79"/>
        <v>0</v>
      </c>
      <c r="I183" s="113">
        <f t="shared" si="80"/>
        <v>482200</v>
      </c>
      <c r="J183" s="114">
        <f t="shared" si="81"/>
        <v>15.6</v>
      </c>
      <c r="K183" s="107">
        <f t="shared" si="82"/>
        <v>11799.6</v>
      </c>
      <c r="L183" s="115">
        <f t="shared" si="83"/>
        <v>3.85</v>
      </c>
      <c r="M183" s="140">
        <f t="shared" si="84"/>
        <v>9.7160871904000015</v>
      </c>
      <c r="N183" s="76"/>
      <c r="O183" s="76"/>
      <c r="P183" s="76"/>
      <c r="Q183" s="76"/>
      <c r="R183" s="141">
        <f t="shared" si="85"/>
        <v>76.849227179935838</v>
      </c>
      <c r="S183" s="117">
        <f t="shared" si="86"/>
        <v>1610.548</v>
      </c>
      <c r="T183" s="118">
        <f t="shared" si="87"/>
        <v>3042.6819999999998</v>
      </c>
      <c r="U183" s="109">
        <f t="shared" si="88"/>
        <v>16962</v>
      </c>
      <c r="V183" s="119">
        <f t="shared" si="89"/>
        <v>58998</v>
      </c>
      <c r="W183" s="120">
        <f>IF(U183="","",+U183+V183)</f>
        <v>75960</v>
      </c>
      <c r="X183" s="121">
        <f>+IF(V183="","",V183*2)</f>
        <v>117996</v>
      </c>
      <c r="Y183" s="122">
        <f>+IF(U183="","",X183+U183)</f>
        <v>134958</v>
      </c>
      <c r="Z183" s="123">
        <f t="shared" si="93"/>
        <v>1029.5999999999999</v>
      </c>
      <c r="AA183" s="142">
        <f t="shared" si="94"/>
        <v>10296</v>
      </c>
      <c r="AB183" s="96"/>
      <c r="AC183" s="105">
        <f t="shared" si="95"/>
        <v>1</v>
      </c>
      <c r="AD183" s="105">
        <f t="shared" si="101"/>
        <v>0</v>
      </c>
      <c r="AE183" s="105">
        <f t="shared" si="96"/>
        <v>438479.99999999994</v>
      </c>
      <c r="AF183" s="105">
        <f t="shared" si="97"/>
        <v>438479.99999999994</v>
      </c>
      <c r="AG183" s="110">
        <f t="shared" si="98"/>
        <v>47912</v>
      </c>
      <c r="AH183" s="199"/>
    </row>
    <row r="184" spans="2:34" ht="15.75" hidden="1" x14ac:dyDescent="0.25">
      <c r="B184" s="138" t="str">
        <f t="shared" si="100"/>
        <v>Multifan MF130 0.75kW (50.5", 1.0hp, 3 blade)</v>
      </c>
      <c r="C184" s="139"/>
      <c r="D184" s="139"/>
      <c r="E184" s="134">
        <f t="shared" si="76"/>
        <v>37.5</v>
      </c>
      <c r="F184" s="136">
        <f t="shared" si="77"/>
        <v>27200</v>
      </c>
      <c r="G184" s="106">
        <f t="shared" si="78"/>
        <v>17</v>
      </c>
      <c r="H184" s="112">
        <f t="shared" si="79"/>
        <v>0</v>
      </c>
      <c r="I184" s="113">
        <f t="shared" si="80"/>
        <v>462400</v>
      </c>
      <c r="J184" s="114">
        <f t="shared" si="81"/>
        <v>20</v>
      </c>
      <c r="K184" s="107">
        <f t="shared" si="82"/>
        <v>14850</v>
      </c>
      <c r="L184" s="115">
        <f t="shared" si="83"/>
        <v>3.69</v>
      </c>
      <c r="M184" s="140">
        <f t="shared" si="84"/>
        <v>9.7160871904000015</v>
      </c>
      <c r="N184" s="76"/>
      <c r="O184" s="76"/>
      <c r="P184" s="76"/>
      <c r="Q184" s="76"/>
      <c r="R184" s="141">
        <f t="shared" si="85"/>
        <v>79.571303587051617</v>
      </c>
      <c r="S184" s="117">
        <f t="shared" si="86"/>
        <v>1544.4159999999999</v>
      </c>
      <c r="T184" s="118">
        <f t="shared" si="87"/>
        <v>2917.7439999999997</v>
      </c>
      <c r="U184" s="109">
        <f t="shared" si="88"/>
        <v>12240</v>
      </c>
      <c r="V184" s="119">
        <f t="shared" si="89"/>
        <v>74250</v>
      </c>
      <c r="W184" s="120">
        <f t="shared" si="90"/>
        <v>86490</v>
      </c>
      <c r="X184" s="121">
        <f t="shared" si="91"/>
        <v>148500</v>
      </c>
      <c r="Y184" s="122">
        <f t="shared" si="92"/>
        <v>160740</v>
      </c>
      <c r="Z184" s="123">
        <f t="shared" si="93"/>
        <v>1320</v>
      </c>
      <c r="AA184" s="142">
        <f t="shared" si="94"/>
        <v>13200</v>
      </c>
      <c r="AB184" s="96"/>
      <c r="AC184" s="105">
        <f t="shared" si="95"/>
        <v>0</v>
      </c>
      <c r="AD184" s="105" t="e">
        <f>+IF(OR(#REF!="",#REF!=""),"",IF(N184&gt;0.82,4,IF(N184&gt;0.77,3,IF(N184&gt;0.72,2,IF(N184&gt;=0.7,1,0)))))</f>
        <v>#REF!</v>
      </c>
      <c r="AE184" s="105">
        <f t="shared" si="96"/>
        <v>438479.99999999994</v>
      </c>
      <c r="AF184" s="105">
        <f t="shared" si="97"/>
        <v>438479.99999999994</v>
      </c>
      <c r="AG184" s="110">
        <f t="shared" si="98"/>
        <v>32100</v>
      </c>
      <c r="AH184" s="199"/>
    </row>
    <row r="185" spans="2:34" ht="15.75" hidden="1" x14ac:dyDescent="0.25">
      <c r="B185" s="138" t="str">
        <f t="shared" si="100"/>
        <v>Multifan MF130 1.12 kW (50.5", 1.5 hp, 3 blade)</v>
      </c>
      <c r="C185" s="139"/>
      <c r="D185" s="139"/>
      <c r="E185" s="134">
        <f t="shared" si="76"/>
        <v>37.5</v>
      </c>
      <c r="F185" s="136">
        <f t="shared" si="77"/>
        <v>34600</v>
      </c>
      <c r="G185" s="106">
        <f t="shared" si="78"/>
        <v>13</v>
      </c>
      <c r="H185" s="112">
        <f t="shared" si="79"/>
        <v>0</v>
      </c>
      <c r="I185" s="113">
        <f t="shared" si="80"/>
        <v>449800</v>
      </c>
      <c r="J185" s="114">
        <f t="shared" si="81"/>
        <v>19.3</v>
      </c>
      <c r="K185" s="107">
        <f t="shared" si="82"/>
        <v>14393.8</v>
      </c>
      <c r="L185" s="115">
        <f t="shared" si="83"/>
        <v>3.59</v>
      </c>
      <c r="M185" s="140">
        <f t="shared" si="84"/>
        <v>9.7160871904000015</v>
      </c>
      <c r="N185" s="76"/>
      <c r="O185" s="76"/>
      <c r="P185" s="76"/>
      <c r="Q185" s="76"/>
      <c r="R185" s="141">
        <f t="shared" si="85"/>
        <v>71.653543307086608</v>
      </c>
      <c r="S185" s="117">
        <f t="shared" si="86"/>
        <v>1502.3320000000001</v>
      </c>
      <c r="T185" s="118">
        <f t="shared" si="87"/>
        <v>2838.2379999999998</v>
      </c>
      <c r="U185" s="109">
        <f t="shared" si="88"/>
        <v>9360</v>
      </c>
      <c r="V185" s="119">
        <f t="shared" si="89"/>
        <v>71969</v>
      </c>
      <c r="W185" s="120">
        <f t="shared" si="90"/>
        <v>81329</v>
      </c>
      <c r="X185" s="121">
        <f t="shared" si="91"/>
        <v>143938</v>
      </c>
      <c r="Y185" s="122">
        <f t="shared" si="92"/>
        <v>153298</v>
      </c>
      <c r="Z185" s="123">
        <f t="shared" si="93"/>
        <v>1273.8000000000002</v>
      </c>
      <c r="AA185" s="142">
        <f t="shared" si="94"/>
        <v>12738.000000000002</v>
      </c>
      <c r="AB185" s="96"/>
      <c r="AC185" s="105">
        <f t="shared" si="95"/>
        <v>0</v>
      </c>
      <c r="AD185" s="105" t="e">
        <f>+IF(OR(#REF!="",#REF!=""),"",IF(N185&gt;0.82,4,IF(N185&gt;0.77,3,IF(N185&gt;0.72,2,IF(N185&gt;=0.7,1,0)))))</f>
        <v>#REF!</v>
      </c>
      <c r="AE185" s="105">
        <f t="shared" si="96"/>
        <v>438479.99999999994</v>
      </c>
      <c r="AF185" s="105">
        <f t="shared" si="97"/>
        <v>438479.99999999994</v>
      </c>
      <c r="AG185" s="110">
        <f t="shared" si="98"/>
        <v>37800</v>
      </c>
      <c r="AH185" s="199"/>
    </row>
    <row r="186" spans="2:34" ht="15.75" hidden="1" x14ac:dyDescent="0.25">
      <c r="B186" s="138" t="str">
        <f t="shared" si="100"/>
        <v>Multifan MF130 0.75 kW (50.5", 1.0 hp, 3 blade) CONE</v>
      </c>
      <c r="C186" s="139"/>
      <c r="D186" s="139"/>
      <c r="E186" s="134">
        <f t="shared" si="76"/>
        <v>37.5</v>
      </c>
      <c r="F186" s="136">
        <f t="shared" si="77"/>
        <v>32400</v>
      </c>
      <c r="G186" s="106">
        <f t="shared" si="78"/>
        <v>14</v>
      </c>
      <c r="H186" s="112">
        <f t="shared" si="79"/>
        <v>0</v>
      </c>
      <c r="I186" s="113">
        <f t="shared" si="80"/>
        <v>453600</v>
      </c>
      <c r="J186" s="114">
        <f t="shared" si="81"/>
        <v>16.399999999999999</v>
      </c>
      <c r="K186" s="107">
        <f t="shared" si="82"/>
        <v>12342.4</v>
      </c>
      <c r="L186" s="115">
        <f t="shared" si="83"/>
        <v>3.62</v>
      </c>
      <c r="M186" s="140">
        <f t="shared" si="84"/>
        <v>9.7160871904000015</v>
      </c>
      <c r="N186" s="76"/>
      <c r="O186" s="76"/>
      <c r="P186" s="76"/>
      <c r="Q186" s="76"/>
      <c r="R186" s="141">
        <f t="shared" si="85"/>
        <v>73.082531350247891</v>
      </c>
      <c r="S186" s="117">
        <f t="shared" si="86"/>
        <v>1515.0240000000001</v>
      </c>
      <c r="T186" s="118">
        <f t="shared" si="87"/>
        <v>2862.2159999999999</v>
      </c>
      <c r="U186" s="109">
        <f t="shared" si="88"/>
        <v>12460</v>
      </c>
      <c r="V186" s="119">
        <f t="shared" si="89"/>
        <v>61712</v>
      </c>
      <c r="W186" s="120">
        <f t="shared" si="90"/>
        <v>74172</v>
      </c>
      <c r="X186" s="121">
        <f t="shared" si="91"/>
        <v>123424</v>
      </c>
      <c r="Y186" s="122">
        <f t="shared" si="92"/>
        <v>135884</v>
      </c>
      <c r="Z186" s="123">
        <f t="shared" si="93"/>
        <v>1082.3999999999999</v>
      </c>
      <c r="AA186" s="142">
        <f t="shared" si="94"/>
        <v>10823.999999999998</v>
      </c>
      <c r="AB186" s="96"/>
      <c r="AC186" s="105">
        <f t="shared" si="95"/>
        <v>0</v>
      </c>
      <c r="AD186" s="105">
        <f>+IF(OR(H121="",E121=""),"",IF(N186&gt;0.82,4,IF(N186&gt;0.77,3,IF(N186&gt;0.72,2,IF(N186&gt;=0.7,1,0)))))</f>
        <v>0</v>
      </c>
      <c r="AE186" s="105">
        <f t="shared" si="96"/>
        <v>438479.99999999994</v>
      </c>
      <c r="AF186" s="105">
        <f t="shared" si="97"/>
        <v>438479.99999999994</v>
      </c>
      <c r="AG186" s="110">
        <f t="shared" si="98"/>
        <v>35800</v>
      </c>
      <c r="AH186" s="199"/>
    </row>
    <row r="187" spans="2:34" ht="15.75" hidden="1" x14ac:dyDescent="0.25">
      <c r="B187" s="138" t="str">
        <f t="shared" si="100"/>
        <v>Multifan MF130 1.12 kW (50.5", 1.5 hp, 3 blade) CONE</v>
      </c>
      <c r="C187" s="139"/>
      <c r="D187" s="139"/>
      <c r="E187" s="134">
        <f t="shared" si="76"/>
        <v>37.5</v>
      </c>
      <c r="F187" s="136">
        <f t="shared" si="77"/>
        <v>38900</v>
      </c>
      <c r="G187" s="106">
        <f t="shared" si="78"/>
        <v>12</v>
      </c>
      <c r="H187" s="112">
        <f t="shared" si="79"/>
        <v>0</v>
      </c>
      <c r="I187" s="113">
        <f t="shared" si="80"/>
        <v>466800</v>
      </c>
      <c r="J187" s="114">
        <f t="shared" si="81"/>
        <v>17.600000000000001</v>
      </c>
      <c r="K187" s="107">
        <f t="shared" si="82"/>
        <v>13161.6</v>
      </c>
      <c r="L187" s="115">
        <f t="shared" si="83"/>
        <v>3.73</v>
      </c>
      <c r="M187" s="140">
        <f t="shared" si="84"/>
        <v>9.7160871904000015</v>
      </c>
      <c r="N187" s="76"/>
      <c r="O187" s="76"/>
      <c r="P187" s="76"/>
      <c r="Q187" s="76"/>
      <c r="R187" s="141">
        <f t="shared" si="85"/>
        <v>72.965879265091857</v>
      </c>
      <c r="S187" s="117">
        <f t="shared" si="86"/>
        <v>1559.1120000000001</v>
      </c>
      <c r="T187" s="118">
        <f t="shared" si="87"/>
        <v>2945.5079999999998</v>
      </c>
      <c r="U187" s="109">
        <f t="shared" si="88"/>
        <v>10680</v>
      </c>
      <c r="V187" s="119">
        <f t="shared" si="89"/>
        <v>65808</v>
      </c>
      <c r="W187" s="120">
        <f t="shared" si="90"/>
        <v>76488</v>
      </c>
      <c r="X187" s="121">
        <f t="shared" si="91"/>
        <v>131616</v>
      </c>
      <c r="Y187" s="122">
        <f t="shared" si="92"/>
        <v>142296</v>
      </c>
      <c r="Z187" s="123">
        <f t="shared" si="93"/>
        <v>1161.6000000000001</v>
      </c>
      <c r="AA187" s="142">
        <f t="shared" si="94"/>
        <v>11616.000000000002</v>
      </c>
      <c r="AB187" s="96"/>
      <c r="AC187" s="105">
        <f t="shared" si="95"/>
        <v>0</v>
      </c>
      <c r="AD187" s="105">
        <f>+IF(OR(H122="",E122=""),"",IF(N187&gt;0.82,4,IF(N187&gt;0.77,3,IF(N187&gt;0.72,2,IF(N187&gt;=0.7,1,0)))))</f>
        <v>0</v>
      </c>
      <c r="AE187" s="105">
        <f t="shared" si="96"/>
        <v>438479.99999999994</v>
      </c>
      <c r="AF187" s="105">
        <f t="shared" si="97"/>
        <v>438479.99999999994</v>
      </c>
      <c r="AG187" s="110">
        <f t="shared" si="98"/>
        <v>41700</v>
      </c>
      <c r="AH187" s="199"/>
    </row>
    <row r="188" spans="2:34" ht="15.75" hidden="1" customHeight="1" x14ac:dyDescent="0.25">
      <c r="B188" s="138" t="str">
        <f>IF(R51="","",R51)</f>
        <v>BlueFan 1.2 kw — 465 rpm</v>
      </c>
      <c r="C188" s="139"/>
      <c r="D188" s="139"/>
      <c r="E188" s="134">
        <f t="shared" si="76"/>
        <v>37.5</v>
      </c>
      <c r="F188" s="136">
        <f>IF(E188="","",IF($H$14&gt;3.65,W51,IF($H$14&gt;=3,V51, IF($H$14&gt;=2.25,U51,IF($H$14&gt;=1.5,T51,T51)))))</f>
        <v>35500</v>
      </c>
      <c r="G188" s="106">
        <f>+IF(B125="","",ROUNDUP(AF188/F188,0))</f>
        <v>13</v>
      </c>
      <c r="H188" s="112">
        <f>IF(B$33=B188,E$33,IF(B$34=B188,E$34,IF(B$35=B188,E$35,IF(B$36=B188,E$36,IF(B$37=B188,E$37,0)))))</f>
        <v>0</v>
      </c>
      <c r="I188" s="113">
        <f t="shared" si="80"/>
        <v>461500</v>
      </c>
      <c r="J188" s="114">
        <f>+IF(X51="","",IF(H188&gt;0,ROUND((H188*(($U51)/(($X51)))/1000),1),ROUND((G188*(($U51)/(($X51)))/1000),1)))</f>
        <v>10.6</v>
      </c>
      <c r="K188" s="107">
        <f>+IF(X51="","",IF(H188&gt;0,ROUND((H188*(($U51)/(($X51)))/1000*$H$13*$H$11),-1),ROUND((G188*(($U51)/(($X51)))/1000*$H$13*$H$11),-1)))+Z188</f>
        <v>7329.6</v>
      </c>
      <c r="L188" s="115">
        <f t="shared" si="83"/>
        <v>3.68</v>
      </c>
      <c r="M188" s="140">
        <f t="shared" si="84"/>
        <v>9.7160871904000015</v>
      </c>
      <c r="N188" s="76"/>
      <c r="O188" s="76"/>
      <c r="P188" s="76"/>
      <c r="Q188" s="76"/>
      <c r="R188" s="108">
        <f t="shared" si="85"/>
        <v>75.255176436278802</v>
      </c>
      <c r="S188" s="117">
        <f t="shared" si="86"/>
        <v>1541.41</v>
      </c>
      <c r="T188" s="118">
        <f t="shared" si="87"/>
        <v>2912.0650000000001</v>
      </c>
      <c r="U188" s="109" t="str">
        <f t="shared" si="88"/>
        <v/>
      </c>
      <c r="V188" s="119">
        <f t="shared" si="89"/>
        <v>36648</v>
      </c>
      <c r="W188" s="120" t="str">
        <f t="shared" si="90"/>
        <v/>
      </c>
      <c r="X188" s="121">
        <f t="shared" si="91"/>
        <v>73296</v>
      </c>
      <c r="Y188" s="122" t="str">
        <f t="shared" si="92"/>
        <v/>
      </c>
      <c r="Z188" s="123">
        <f t="shared" si="93"/>
        <v>699.59999999999991</v>
      </c>
      <c r="AA188" s="142">
        <f t="shared" si="94"/>
        <v>6995.9999999999991</v>
      </c>
      <c r="AB188" s="96"/>
      <c r="AC188" s="105" t="str">
        <f t="shared" si="95"/>
        <v/>
      </c>
      <c r="AD188" s="105">
        <f>+IF(OR(H123="",E123=""),"",IF(N188&gt;0.82,4,IF(N188&gt;0.77,3,IF(N188&gt;0.72,2,IF(N188&gt;=0.7,1,0)))))</f>
        <v>0</v>
      </c>
      <c r="AE188" s="105">
        <f t="shared" si="96"/>
        <v>438479.99999999994</v>
      </c>
      <c r="AF188" s="105">
        <f t="shared" si="97"/>
        <v>438479.99999999994</v>
      </c>
      <c r="AG188" s="110">
        <f>IF($H$14&gt;3.556,V51,IF($H$14&gt;=3.048,U51, IF($H$14&gt;=2.286,T51,IF($H$14&gt;=1.524,T51,T51))))</f>
        <v>39700</v>
      </c>
      <c r="AH188" s="199"/>
    </row>
    <row r="189" spans="2:34" ht="15.75" hidden="1" x14ac:dyDescent="0.25">
      <c r="B189" s="138" t="str">
        <f>IF(R52="","",R52)</f>
        <v>BlueFan 1.2 kw — 500 rpm</v>
      </c>
      <c r="C189" s="139"/>
      <c r="D189" s="139"/>
      <c r="E189" s="134">
        <f>IF(B189="","",IF($H$14&gt;3.65,50,IF($H$14&gt;=3,37.5, IF($H$14&gt;=2.25,25,IF($H$14&gt;=1.5,12.5,0.05)))))</f>
        <v>37.5</v>
      </c>
      <c r="F189" s="136">
        <f>IF(E189="","",IF($H$14&gt;3.65,W52,IF($H$14&gt;=3,V52, IF($H$14&gt;=2.25,U52,IF($H$14&gt;=1.5,T52,T52)))))</f>
        <v>40200</v>
      </c>
      <c r="G189" s="106">
        <f>+IF(B126="","",ROUNDUP(AF189/F189,0))</f>
        <v>11</v>
      </c>
      <c r="H189" s="112">
        <f>IF(B$33=B189,E$33,IF(B$34=B189,E$34,IF(B$35=B189,E$35,IF(B$36=B189,E$36,IF(B$37=B189,E$37,0)))))</f>
        <v>0</v>
      </c>
      <c r="I189" s="113">
        <f>+IF(F189="","",IF(H189&gt;0,ROUND(F189*H189,-2),ROUND(F189*G189,-2)))</f>
        <v>442200</v>
      </c>
      <c r="J189" s="114">
        <f>+IF(X52="","",IF(H189&gt;0,ROUND((H189*(($U52)/(($X52)))/1000),1),ROUND((G189*(($U52)/(($X52)))/1000),1)))</f>
        <v>10.8</v>
      </c>
      <c r="K189" s="107">
        <f>+IF(X52="","",IF(H189&gt;0,ROUND((H189*(($U52)/(($X52)))/1000*$H$13*$H$11),-1),ROUND((G189*(($U52)/(($X52)))/1000*$H$13*$H$11),-1)))+Z189</f>
        <v>7492.8</v>
      </c>
      <c r="L189" s="115">
        <f>+IF(I189="","",ROUND((I189/($C$12*($C$13+$C$14)/2)/3600),2))</f>
        <v>3.53</v>
      </c>
      <c r="M189" s="140">
        <f>IF(L189="","",IF(L189&gt;3.302,0.8676*3.302^2+0.0787*3.302-0.0034,0.8676*L189^2+0.0787*L189-0.0034))</f>
        <v>9.7160871904000015</v>
      </c>
      <c r="N189" s="76"/>
      <c r="O189" s="76"/>
      <c r="P189" s="76"/>
      <c r="Q189" s="76"/>
      <c r="R189" s="108">
        <f t="shared" si="85"/>
        <v>70.414114902303879</v>
      </c>
      <c r="S189" s="117">
        <f t="shared" si="86"/>
        <v>1476.9480000000001</v>
      </c>
      <c r="T189" s="118">
        <f t="shared" si="87"/>
        <v>2790.2819999999997</v>
      </c>
      <c r="U189" s="109" t="str">
        <f t="shared" si="88"/>
        <v/>
      </c>
      <c r="V189" s="119">
        <f t="shared" si="89"/>
        <v>37464</v>
      </c>
      <c r="W189" s="120" t="str">
        <f t="shared" si="90"/>
        <v/>
      </c>
      <c r="X189" s="121">
        <f t="shared" si="91"/>
        <v>74928</v>
      </c>
      <c r="Y189" s="122" t="str">
        <f t="shared" si="92"/>
        <v/>
      </c>
      <c r="Z189" s="123">
        <f t="shared" si="93"/>
        <v>712.80000000000018</v>
      </c>
      <c r="AA189" s="124">
        <f t="shared" si="94"/>
        <v>7128.0000000000018</v>
      </c>
      <c r="AB189" s="96"/>
      <c r="AC189" s="105" t="str">
        <f t="shared" si="95"/>
        <v/>
      </c>
      <c r="AD189" s="105">
        <f>+IF(OR(H124="",E124=""),"",IF(N189&gt;0.82,4,IF(N189&gt;0.77,3,IF(N189&gt;0.72,2,IF(N189&gt;=0.7,1,0)))))</f>
        <v>0</v>
      </c>
      <c r="AE189" s="105">
        <f t="shared" si="96"/>
        <v>438479.99999999994</v>
      </c>
      <c r="AF189" s="105">
        <f t="shared" si="97"/>
        <v>438479.99999999994</v>
      </c>
      <c r="AG189" s="110">
        <f>IF($H$14&gt;3.556,V52,IF($H$14&gt;=3.048,U52, IF($H$14&gt;=2.286,T52,IF($H$14&gt;=1.524,T52,T52))))</f>
        <v>43900</v>
      </c>
      <c r="AH189" s="199"/>
    </row>
    <row r="190" spans="2:34" ht="15.75" hidden="1" x14ac:dyDescent="0.25">
      <c r="B190" s="138" t="str">
        <f>IF(R53="","",R53)</f>
        <v>BlueFan 1.2 kw — 550 rpm</v>
      </c>
      <c r="C190" s="139"/>
      <c r="D190" s="139"/>
      <c r="E190" s="134">
        <f>IF(B190="","",IF($H$14&gt;3.65,50,IF($H$14&gt;=3,37.5, IF($H$14&gt;=2.25,25,IF($H$14&gt;=1.5,12.5,0.05)))))</f>
        <v>37.5</v>
      </c>
      <c r="F190" s="136">
        <f>IF(E190="","",IF($H$14&gt;3.65,W53,IF($H$14&gt;=3,V53, IF($H$14&gt;=2.25,U53,IF($H$14&gt;=1.5,T53,T53)))))</f>
        <v>46400</v>
      </c>
      <c r="G190" s="106">
        <f>+IF(B127="","",ROUNDUP(AF190/F190,0))</f>
        <v>10</v>
      </c>
      <c r="H190" s="112">
        <f>IF(B$33=B190,E$33,IF(B$34=B190,E$34,IF(B$35=B190,E$35,IF(B$36=B190,E$36,IF(B$37=B190,E$37,0)))))</f>
        <v>0</v>
      </c>
      <c r="I190" s="113">
        <f>+IF(F190="","",IF(H190&gt;0,ROUND(F190*H190,-2),ROUND(F190*G190,-2)))</f>
        <v>464000</v>
      </c>
      <c r="J190" s="114">
        <f>+IF(X53="","",IF(H190&gt;0,ROUND((H190*(($U53)/(($X53)))/1000),1),ROUND((G190*(($U53)/(($X53)))/1000),1)))</f>
        <v>12.5</v>
      </c>
      <c r="K190" s="107">
        <f>+IF(X53="","",IF(H190&gt;0,ROUND((H190*(($U53)/(($X53)))/1000*$H$13*$H$11),-1),ROUND((G190*(($U53)/(($X53)))/1000*$H$13*$H$11),-1)))+Z190</f>
        <v>8665</v>
      </c>
      <c r="L190" s="115">
        <f>+IF(I190="","",ROUND((I190/($C$12*($C$13+$C$14)/2)/3600),2))</f>
        <v>3.7</v>
      </c>
      <c r="M190" s="140">
        <f>IF(L190="","",IF(L190&gt;3.302,0.8676*3.302^2+0.0787*3.302-0.0034,0.8676*L190^2+0.0787*L190-0.0034))</f>
        <v>9.7160871904000015</v>
      </c>
      <c r="N190" s="76"/>
      <c r="O190" s="76"/>
      <c r="P190" s="76"/>
      <c r="Q190" s="76"/>
      <c r="R190" s="108">
        <f t="shared" si="85"/>
        <v>72.761738116068827</v>
      </c>
      <c r="S190" s="117">
        <f t="shared" si="86"/>
        <v>1549.76</v>
      </c>
      <c r="T190" s="118">
        <f t="shared" si="87"/>
        <v>2927.8399999999997</v>
      </c>
      <c r="U190" s="109" t="str">
        <f t="shared" si="88"/>
        <v/>
      </c>
      <c r="V190" s="119">
        <f t="shared" si="89"/>
        <v>43325</v>
      </c>
      <c r="W190" s="120" t="str">
        <f t="shared" si="90"/>
        <v/>
      </c>
      <c r="X190" s="121">
        <f>+IF(V190="","",V190*2)</f>
        <v>86650</v>
      </c>
      <c r="Y190" s="122" t="str">
        <f>+IF(U190="","",X190+U190)</f>
        <v/>
      </c>
      <c r="Z190" s="123">
        <f t="shared" si="93"/>
        <v>825</v>
      </c>
      <c r="AA190" s="124">
        <f t="shared" si="94"/>
        <v>8250</v>
      </c>
      <c r="AB190" s="96"/>
      <c r="AC190" s="105">
        <f>+IF(I125="","",IF(I125&gt;=37.38,4,IF(I125&gt;=35.68,3,IF(I125&gt;=33.98,2,IF(I125&gt;=32.28,1,0)))))</f>
        <v>4</v>
      </c>
      <c r="AD190" s="105">
        <f>+IF(OR(H125="",E125=""),"",IF(N190&gt;0.82,4,IF(N190&gt;0.77,3,IF(N190&gt;0.72,2,IF(N190&gt;=0.7,1,0)))))</f>
        <v>0</v>
      </c>
      <c r="AE190" s="105">
        <f t="shared" si="96"/>
        <v>438479.99999999994</v>
      </c>
      <c r="AF190" s="105">
        <f t="shared" si="97"/>
        <v>438479.99999999994</v>
      </c>
      <c r="AG190" s="110">
        <f>IF($H$14&gt;3.556,V53,IF($H$14&gt;=3.048,U53, IF($H$14&gt;=2.286,T53,IF($H$14&gt;=1.524,T53,T53))))</f>
        <v>49900</v>
      </c>
      <c r="AH190" s="199"/>
    </row>
    <row r="191" spans="2:34" ht="15.75" hidden="1" x14ac:dyDescent="0.25">
      <c r="B191" s="138" t="str">
        <f t="shared" ref="B191:B199" si="102">IF(R54="","",R54)</f>
        <v/>
      </c>
      <c r="C191" s="139"/>
      <c r="D191" s="139"/>
      <c r="E191" s="134" t="str">
        <f t="shared" ref="E191:E230" si="103">IF(B191="","",IF($H$14&gt;3.65,50,IF($H$14&gt;=3,37.5, IF($H$14&gt;=2.25,25,IF($H$14&gt;=1.5,12.5,0.05)))))</f>
        <v/>
      </c>
      <c r="F191" s="136" t="str">
        <f t="shared" ref="F191:F199" si="104">IF(E191="","",IF($H$14&gt;3.65,W54,IF($H$14&gt;=3,V54, IF($H$14&gt;=2.25,U54,IF($H$14&gt;=1.5,T54,T54)))))</f>
        <v/>
      </c>
      <c r="G191" s="106"/>
      <c r="H191" s="112" t="str">
        <f t="shared" ref="H191:H230" si="105">IF(B$33=B191,E$33,IF(B$34=B191,E$34,IF(B$35=B191,E$35,IF(B$36=B191,E$36,IF(B$37=B191,E$37,0)))))</f>
        <v/>
      </c>
      <c r="I191" s="113" t="str">
        <f t="shared" ref="I191:I230" si="106">+IF(F191="","",IF(H191&gt;0,ROUND(F191*H191,-2),ROUND(F191*G191,-2)))</f>
        <v/>
      </c>
      <c r="J191" s="114" t="str">
        <f t="shared" ref="J191:J198" si="107">+IF(X54="","",IF(H191&gt;0,ROUND((H191*(($U54)/(($X54)))/1000),1),ROUND((G191*(($U54)/(($X54)))/1000),1)))</f>
        <v/>
      </c>
      <c r="K191" s="107"/>
      <c r="L191" s="115" t="str">
        <f t="shared" ref="L191:L230" si="108">+IF(I191="","",ROUND((I191/($C$12*($C$13+$C$14)/2)/3600),2))</f>
        <v/>
      </c>
      <c r="M191" s="140" t="str">
        <f t="shared" ref="M191:M230" si="109">IF(L191="","",IF(L191&gt;3.302,0.8676*3.302^2+0.0787*3.302-0.0034,0.8676*L191^2+0.0787*L191-0.0034))</f>
        <v/>
      </c>
      <c r="N191" s="76"/>
      <c r="O191" s="76"/>
      <c r="P191" s="76"/>
      <c r="Q191" s="76"/>
      <c r="R191" s="108" t="str">
        <f t="shared" si="85"/>
        <v/>
      </c>
      <c r="S191" s="117" t="str">
        <f t="shared" si="86"/>
        <v/>
      </c>
      <c r="T191" s="118" t="str">
        <f t="shared" si="87"/>
        <v/>
      </c>
      <c r="U191" s="109" t="str">
        <f t="shared" si="88"/>
        <v/>
      </c>
      <c r="V191" s="119" t="str">
        <f t="shared" si="89"/>
        <v/>
      </c>
      <c r="W191" s="120" t="str">
        <f t="shared" ref="W191:W230" si="110">IF(U191="","",+U191+V191)</f>
        <v/>
      </c>
      <c r="X191" s="121" t="str">
        <f t="shared" ref="X191:X230" si="111">+IF(V191="","",V191*2)</f>
        <v/>
      </c>
      <c r="Y191" s="122" t="str">
        <f t="shared" ref="Y191:Y230" si="112">+IF(U191="","",X191+U191)</f>
        <v/>
      </c>
      <c r="Z191" s="123" t="e">
        <f t="shared" si="93"/>
        <v>#VALUE!</v>
      </c>
      <c r="AA191" s="124" t="e">
        <f t="shared" si="94"/>
        <v>#VALUE!</v>
      </c>
      <c r="AB191" s="96"/>
      <c r="AC191" s="105">
        <f t="shared" ref="AC191:AC230" si="113">+IF(I126="","",IF(I126&gt;=37.38,4,IF(I126&gt;=35.68,3,IF(I126&gt;=33.98,2,IF(I126&gt;=32.28,1,0)))))</f>
        <v>4</v>
      </c>
      <c r="AD191" s="105">
        <f t="shared" ref="AD191:AD230" si="114">+IF(OR(H126="",E126=""),"",IF(N191&gt;0.82,4,IF(N191&gt;0.77,3,IF(N191&gt;0.72,2,IF(N191&gt;=0.7,1,0)))))</f>
        <v>0</v>
      </c>
      <c r="AE191" s="105">
        <f t="shared" si="96"/>
        <v>438479.99999999994</v>
      </c>
      <c r="AF191" s="105">
        <f t="shared" ref="AF191:AF230" si="115">+IF(AE191&gt;$AF$97,AE191,$AF$97)</f>
        <v>438479.99999999994</v>
      </c>
      <c r="AG191" s="110">
        <f t="shared" ref="AG191:AG199" si="116">IF($H$14&gt;3.556,V54,IF($H$14&gt;=3.048,U54, IF($H$14&gt;=2.286,T54,IF($H$14&gt;=1.524,T54,T54))))</f>
        <v>0</v>
      </c>
      <c r="AH191" s="199"/>
    </row>
    <row r="192" spans="2:34" ht="15.75" hidden="1" x14ac:dyDescent="0.25">
      <c r="B192" s="138" t="str">
        <f t="shared" si="102"/>
        <v/>
      </c>
      <c r="C192" s="139"/>
      <c r="D192" s="139"/>
      <c r="E192" s="134" t="str">
        <f t="shared" si="103"/>
        <v/>
      </c>
      <c r="F192" s="136" t="str">
        <f t="shared" si="104"/>
        <v/>
      </c>
      <c r="G192" s="106"/>
      <c r="H192" s="112" t="str">
        <f t="shared" si="105"/>
        <v/>
      </c>
      <c r="I192" s="113" t="str">
        <f t="shared" si="106"/>
        <v/>
      </c>
      <c r="J192" s="114" t="str">
        <f t="shared" si="107"/>
        <v/>
      </c>
      <c r="K192" s="107"/>
      <c r="L192" s="115" t="str">
        <f t="shared" si="108"/>
        <v/>
      </c>
      <c r="M192" s="140" t="str">
        <f t="shared" si="109"/>
        <v/>
      </c>
      <c r="N192" s="76"/>
      <c r="O192" s="76"/>
      <c r="P192" s="76"/>
      <c r="Q192" s="76"/>
      <c r="R192" s="108" t="str">
        <f t="shared" si="85"/>
        <v/>
      </c>
      <c r="S192" s="117" t="str">
        <f t="shared" si="86"/>
        <v/>
      </c>
      <c r="T192" s="118" t="str">
        <f t="shared" si="87"/>
        <v/>
      </c>
      <c r="U192" s="109" t="str">
        <f t="shared" si="88"/>
        <v/>
      </c>
      <c r="V192" s="119" t="str">
        <f t="shared" si="89"/>
        <v/>
      </c>
      <c r="W192" s="120" t="str">
        <f t="shared" si="110"/>
        <v/>
      </c>
      <c r="X192" s="121" t="str">
        <f t="shared" si="111"/>
        <v/>
      </c>
      <c r="Y192" s="122" t="str">
        <f t="shared" si="112"/>
        <v/>
      </c>
      <c r="Z192" s="123" t="e">
        <f t="shared" si="93"/>
        <v>#VALUE!</v>
      </c>
      <c r="AA192" s="124" t="e">
        <f t="shared" si="94"/>
        <v>#VALUE!</v>
      </c>
      <c r="AB192" s="96"/>
      <c r="AC192" s="105">
        <f t="shared" si="113"/>
        <v>4</v>
      </c>
      <c r="AD192" s="105">
        <f t="shared" si="114"/>
        <v>0</v>
      </c>
      <c r="AE192" s="105">
        <f t="shared" si="96"/>
        <v>438479.99999999994</v>
      </c>
      <c r="AF192" s="105">
        <f t="shared" si="115"/>
        <v>438479.99999999994</v>
      </c>
      <c r="AG192" s="110">
        <f t="shared" si="116"/>
        <v>0</v>
      </c>
      <c r="AH192" s="199"/>
    </row>
    <row r="193" spans="2:34" ht="15.75" hidden="1" x14ac:dyDescent="0.25">
      <c r="B193" s="138" t="str">
        <f t="shared" si="102"/>
        <v>Skov Blue Fan 2.3 kW</v>
      </c>
      <c r="C193" s="139"/>
      <c r="D193" s="139"/>
      <c r="E193" s="134">
        <f t="shared" si="103"/>
        <v>37.5</v>
      </c>
      <c r="F193" s="136" t="str">
        <f t="shared" si="104"/>
        <v>37 Pa</v>
      </c>
      <c r="G193" s="106"/>
      <c r="H193" s="112">
        <f t="shared" si="105"/>
        <v>0</v>
      </c>
      <c r="I193" s="113"/>
      <c r="J193" s="114"/>
      <c r="K193" s="107"/>
      <c r="L193" s="115" t="str">
        <f t="shared" si="108"/>
        <v/>
      </c>
      <c r="M193" s="140" t="str">
        <f t="shared" si="109"/>
        <v/>
      </c>
      <c r="N193" s="76"/>
      <c r="O193" s="76"/>
      <c r="P193" s="76"/>
      <c r="Q193" s="76"/>
      <c r="R193" s="108" t="e">
        <f t="shared" si="85"/>
        <v>#VALUE!</v>
      </c>
      <c r="S193" s="117">
        <f t="shared" si="86"/>
        <v>0</v>
      </c>
      <c r="T193" s="118">
        <f t="shared" si="87"/>
        <v>0</v>
      </c>
      <c r="U193" s="109" t="str">
        <f t="shared" si="88"/>
        <v/>
      </c>
      <c r="V193" s="119" t="str">
        <f t="shared" si="89"/>
        <v/>
      </c>
      <c r="W193" s="120" t="str">
        <f t="shared" si="110"/>
        <v/>
      </c>
      <c r="X193" s="121" t="str">
        <f t="shared" si="111"/>
        <v/>
      </c>
      <c r="Y193" s="122" t="str">
        <f t="shared" si="112"/>
        <v/>
      </c>
      <c r="Z193" s="123">
        <f t="shared" si="93"/>
        <v>0</v>
      </c>
      <c r="AA193" s="124">
        <f t="shared" si="94"/>
        <v>0</v>
      </c>
      <c r="AB193" s="96"/>
      <c r="AC193" s="105">
        <f t="shared" si="113"/>
        <v>4</v>
      </c>
      <c r="AD193" s="105">
        <f t="shared" si="114"/>
        <v>0</v>
      </c>
      <c r="AE193" s="105">
        <f t="shared" si="96"/>
        <v>438479.99999999994</v>
      </c>
      <c r="AF193" s="105">
        <f t="shared" si="115"/>
        <v>438479.99999999994</v>
      </c>
      <c r="AG193" s="110" t="str">
        <f t="shared" si="116"/>
        <v>25 Pa</v>
      </c>
      <c r="AH193" s="199"/>
    </row>
    <row r="194" spans="2:34" ht="15.75" hidden="1" x14ac:dyDescent="0.25">
      <c r="B194" s="138" t="str">
        <f t="shared" si="102"/>
        <v>BlueFan 2.3 kw — 464 rpm</v>
      </c>
      <c r="C194" s="139"/>
      <c r="D194" s="139"/>
      <c r="E194" s="134">
        <f t="shared" si="103"/>
        <v>37.5</v>
      </c>
      <c r="F194" s="136">
        <f t="shared" si="104"/>
        <v>35700</v>
      </c>
      <c r="G194" s="106">
        <f t="shared" ref="G194:G230" si="117">+IF(B131="","",ROUNDUP(AF194/F194,0))</f>
        <v>13</v>
      </c>
      <c r="H194" s="112">
        <f t="shared" si="105"/>
        <v>0</v>
      </c>
      <c r="I194" s="113">
        <f t="shared" si="106"/>
        <v>464100</v>
      </c>
      <c r="J194" s="114">
        <f t="shared" si="107"/>
        <v>10.1</v>
      </c>
      <c r="K194" s="107">
        <f>+IF(X57="","",IF(H194&gt;0,ROUND((H194*(($U57)/(($X57)))/1000*$H$13*$H$11),-1),ROUND((G194*(($U57)/(($X57)))/1000*$H$13*$H$11),-1)))+Z194</f>
        <v>7016.6</v>
      </c>
      <c r="L194" s="115">
        <f t="shared" si="108"/>
        <v>3.7</v>
      </c>
      <c r="M194" s="140">
        <f t="shared" si="109"/>
        <v>9.7160871904000015</v>
      </c>
      <c r="N194" s="76"/>
      <c r="O194" s="76"/>
      <c r="P194" s="76"/>
      <c r="Q194" s="76"/>
      <c r="R194" s="108">
        <f t="shared" si="85"/>
        <v>75.823855351414409</v>
      </c>
      <c r="S194" s="117">
        <f t="shared" si="86"/>
        <v>1550.0940000000001</v>
      </c>
      <c r="T194" s="118">
        <f t="shared" si="87"/>
        <v>2928.471</v>
      </c>
      <c r="U194" s="109" t="str">
        <f t="shared" si="88"/>
        <v/>
      </c>
      <c r="V194" s="119">
        <f t="shared" si="89"/>
        <v>35083</v>
      </c>
      <c r="W194" s="120" t="str">
        <f t="shared" si="110"/>
        <v/>
      </c>
      <c r="X194" s="121">
        <f t="shared" si="111"/>
        <v>70166</v>
      </c>
      <c r="Y194" s="122" t="str">
        <f t="shared" si="112"/>
        <v/>
      </c>
      <c r="Z194" s="123">
        <f t="shared" si="93"/>
        <v>666.59999999999991</v>
      </c>
      <c r="AA194" s="124">
        <f t="shared" si="94"/>
        <v>6665.9999999999991</v>
      </c>
      <c r="AB194" s="96"/>
      <c r="AC194" s="105">
        <f t="shared" si="113"/>
        <v>4</v>
      </c>
      <c r="AD194" s="105">
        <f t="shared" si="114"/>
        <v>0</v>
      </c>
      <c r="AE194" s="105">
        <f t="shared" si="96"/>
        <v>438479.99999999994</v>
      </c>
      <c r="AF194" s="105">
        <f t="shared" si="115"/>
        <v>438479.99999999994</v>
      </c>
      <c r="AG194" s="110">
        <f t="shared" si="116"/>
        <v>40000</v>
      </c>
      <c r="AH194" s="199"/>
    </row>
    <row r="195" spans="2:34" ht="15.75" hidden="1" x14ac:dyDescent="0.25">
      <c r="B195" s="138" t="str">
        <f t="shared" si="102"/>
        <v>BlueFan 2.3 kw —500 rpm</v>
      </c>
      <c r="C195" s="139"/>
      <c r="D195" s="139"/>
      <c r="E195" s="134">
        <f t="shared" si="103"/>
        <v>37.5</v>
      </c>
      <c r="F195" s="136">
        <f t="shared" si="104"/>
        <v>40300</v>
      </c>
      <c r="G195" s="106">
        <f t="shared" si="117"/>
        <v>11</v>
      </c>
      <c r="H195" s="112">
        <f t="shared" si="105"/>
        <v>0</v>
      </c>
      <c r="I195" s="113">
        <f t="shared" si="106"/>
        <v>443300</v>
      </c>
      <c r="J195" s="114">
        <f t="shared" si="107"/>
        <v>10.3</v>
      </c>
      <c r="K195" s="107">
        <f>+IF(X58="","",IF(H195&gt;0,ROUND((H195*(($U58)/(($X58)))/1000*$H$13*$H$11),-1),ROUND((G195*(($U58)/(($X58)))/1000*$H$13*$H$11),-1)))+Z195</f>
        <v>7109.8</v>
      </c>
      <c r="L195" s="115">
        <f t="shared" si="108"/>
        <v>3.54</v>
      </c>
      <c r="M195" s="140">
        <f t="shared" si="109"/>
        <v>9.7160871904000015</v>
      </c>
      <c r="N195" s="76"/>
      <c r="O195" s="76"/>
      <c r="P195" s="76"/>
      <c r="Q195" s="76"/>
      <c r="R195" s="108">
        <f t="shared" ref="R195:R230" si="118">+IF(B195="","",IF(H195&gt;0,H195*AG195/6858,G195*AG195/6858))</f>
        <v>70.574511519393411</v>
      </c>
      <c r="S195" s="117">
        <f t="shared" ref="S195:S230" si="119">+IF(B195="","",I195*0.00334)</f>
        <v>1480.6220000000001</v>
      </c>
      <c r="T195" s="118">
        <f t="shared" ref="T195:T230" si="120">+IF(B195="","",I195*0.00631)</f>
        <v>2797.223</v>
      </c>
      <c r="U195" s="109" t="str">
        <f t="shared" ref="U195:U226" si="121">IF(J91="","",IF(H195&gt;0,J91*H195,J91*G195))</f>
        <v/>
      </c>
      <c r="V195" s="119">
        <f t="shared" ref="V195:V230" si="122">+IF(K195="","",K195*5)</f>
        <v>35549</v>
      </c>
      <c r="W195" s="120" t="str">
        <f t="shared" si="110"/>
        <v/>
      </c>
      <c r="X195" s="121">
        <f t="shared" si="111"/>
        <v>71098</v>
      </c>
      <c r="Y195" s="122" t="str">
        <f t="shared" si="112"/>
        <v/>
      </c>
      <c r="Z195" s="123">
        <f t="shared" ref="Z195:Z230" si="123">(J195*$H$12)*5.5</f>
        <v>679.80000000000007</v>
      </c>
      <c r="AA195" s="124">
        <f t="shared" ref="AA195:AA226" si="124">Z195*10</f>
        <v>6798.0000000000009</v>
      </c>
      <c r="AB195" s="96"/>
      <c r="AC195" s="105">
        <f t="shared" si="113"/>
        <v>4</v>
      </c>
      <c r="AD195" s="105">
        <f t="shared" si="114"/>
        <v>0</v>
      </c>
      <c r="AE195" s="105">
        <f t="shared" si="96"/>
        <v>438479.99999999994</v>
      </c>
      <c r="AF195" s="105">
        <f t="shared" si="115"/>
        <v>438479.99999999994</v>
      </c>
      <c r="AG195" s="110">
        <f t="shared" si="116"/>
        <v>44000</v>
      </c>
      <c r="AH195" s="199"/>
    </row>
    <row r="196" spans="2:34" ht="15.75" hidden="1" x14ac:dyDescent="0.25">
      <c r="B196" s="138" t="str">
        <f t="shared" si="102"/>
        <v>BlueFan 2.3 kw —550 rpm</v>
      </c>
      <c r="C196" s="139"/>
      <c r="D196" s="139"/>
      <c r="E196" s="134">
        <f t="shared" si="103"/>
        <v>37.5</v>
      </c>
      <c r="F196" s="136">
        <f t="shared" si="104"/>
        <v>46600</v>
      </c>
      <c r="G196" s="106">
        <f t="shared" si="117"/>
        <v>10</v>
      </c>
      <c r="H196" s="112">
        <f t="shared" si="105"/>
        <v>0</v>
      </c>
      <c r="I196" s="113">
        <f t="shared" si="106"/>
        <v>466000</v>
      </c>
      <c r="J196" s="114">
        <f t="shared" si="107"/>
        <v>12</v>
      </c>
      <c r="K196" s="107">
        <f>+IF(X59="","",IF(H196&gt;0,ROUND((H196*(($U59)/(($X59)))/1000*$H$13*$H$11),-1),ROUND((G196*(($U59)/(($X59)))/1000*$H$13*$H$11),-1)))+Z196</f>
        <v>8292</v>
      </c>
      <c r="L196" s="115">
        <f t="shared" si="108"/>
        <v>3.72</v>
      </c>
      <c r="M196" s="140">
        <f t="shared" si="109"/>
        <v>9.7160871904000015</v>
      </c>
      <c r="N196" s="76"/>
      <c r="O196" s="76"/>
      <c r="P196" s="76"/>
      <c r="Q196" s="76"/>
      <c r="R196" s="108">
        <f t="shared" si="118"/>
        <v>72.615923009623799</v>
      </c>
      <c r="S196" s="117">
        <f t="shared" si="119"/>
        <v>1556.44</v>
      </c>
      <c r="T196" s="118">
        <f t="shared" si="120"/>
        <v>2940.46</v>
      </c>
      <c r="U196" s="109" t="str">
        <f t="shared" si="121"/>
        <v/>
      </c>
      <c r="V196" s="119">
        <f t="shared" si="122"/>
        <v>41460</v>
      </c>
      <c r="W196" s="120" t="str">
        <f t="shared" si="110"/>
        <v/>
      </c>
      <c r="X196" s="121">
        <f t="shared" si="111"/>
        <v>82920</v>
      </c>
      <c r="Y196" s="122" t="str">
        <f t="shared" si="112"/>
        <v/>
      </c>
      <c r="Z196" s="123">
        <f t="shared" si="123"/>
        <v>792</v>
      </c>
      <c r="AA196" s="124">
        <f t="shared" si="124"/>
        <v>7920</v>
      </c>
      <c r="AB196" s="96"/>
      <c r="AC196" s="105">
        <f t="shared" si="113"/>
        <v>4</v>
      </c>
      <c r="AD196" s="105">
        <f t="shared" si="114"/>
        <v>0</v>
      </c>
      <c r="AE196" s="105">
        <f t="shared" si="96"/>
        <v>438479.99999999994</v>
      </c>
      <c r="AF196" s="105">
        <f t="shared" si="115"/>
        <v>438479.99999999994</v>
      </c>
      <c r="AG196" s="110">
        <f t="shared" si="116"/>
        <v>49800</v>
      </c>
      <c r="AH196" s="199"/>
    </row>
    <row r="197" spans="2:34" ht="15.75" hidden="1" x14ac:dyDescent="0.25">
      <c r="B197" s="138" t="str">
        <f t="shared" si="102"/>
        <v>BlueFan 2.3 kw —650 rpm</v>
      </c>
      <c r="C197" s="139"/>
      <c r="D197" s="139"/>
      <c r="E197" s="134">
        <f t="shared" si="103"/>
        <v>37.5</v>
      </c>
      <c r="F197" s="136">
        <f t="shared" si="104"/>
        <v>58400</v>
      </c>
      <c r="G197" s="106">
        <f t="shared" si="117"/>
        <v>8</v>
      </c>
      <c r="H197" s="112">
        <f t="shared" si="105"/>
        <v>0</v>
      </c>
      <c r="I197" s="113">
        <f t="shared" si="106"/>
        <v>467200</v>
      </c>
      <c r="J197" s="114">
        <f t="shared" si="107"/>
        <v>14.6</v>
      </c>
      <c r="K197" s="107">
        <f>+IF(X60="","",IF(H197&gt;0,ROUND((H197*(($U60)/(($X60)))/1000*$H$13*$H$11),-1),ROUND((G197*(($U60)/(($X60)))/1000*$H$13*$H$11),-1)))+Z197</f>
        <v>10103.6</v>
      </c>
      <c r="L197" s="115">
        <f t="shared" si="108"/>
        <v>3.73</v>
      </c>
      <c r="M197" s="140">
        <f t="shared" si="109"/>
        <v>9.7160871904000015</v>
      </c>
      <c r="N197" s="76"/>
      <c r="O197" s="76"/>
      <c r="P197" s="76"/>
      <c r="Q197" s="76"/>
      <c r="R197" s="108">
        <f t="shared" si="118"/>
        <v>71.041119860017503</v>
      </c>
      <c r="S197" s="117">
        <f t="shared" si="119"/>
        <v>1560.4480000000001</v>
      </c>
      <c r="T197" s="118">
        <f t="shared" si="120"/>
        <v>2948.0319999999997</v>
      </c>
      <c r="U197" s="109" t="str">
        <f t="shared" si="121"/>
        <v/>
      </c>
      <c r="V197" s="119">
        <f t="shared" si="122"/>
        <v>50518</v>
      </c>
      <c r="W197" s="120" t="str">
        <f t="shared" si="110"/>
        <v/>
      </c>
      <c r="X197" s="121">
        <f t="shared" si="111"/>
        <v>101036</v>
      </c>
      <c r="Y197" s="122" t="str">
        <f t="shared" si="112"/>
        <v/>
      </c>
      <c r="Z197" s="123">
        <f t="shared" si="123"/>
        <v>963.59999999999991</v>
      </c>
      <c r="AA197" s="124">
        <f t="shared" si="124"/>
        <v>9636</v>
      </c>
      <c r="AB197" s="96"/>
      <c r="AC197" s="105">
        <f t="shared" si="113"/>
        <v>4</v>
      </c>
      <c r="AD197" s="105">
        <f t="shared" si="114"/>
        <v>0</v>
      </c>
      <c r="AE197" s="105">
        <f t="shared" si="96"/>
        <v>438479.99999999994</v>
      </c>
      <c r="AF197" s="105">
        <f t="shared" si="115"/>
        <v>438479.99999999994</v>
      </c>
      <c r="AG197" s="110">
        <f t="shared" si="116"/>
        <v>60900</v>
      </c>
      <c r="AH197" s="199"/>
    </row>
    <row r="198" spans="2:34" ht="15.75" hidden="1" x14ac:dyDescent="0.25">
      <c r="B198" s="138" t="str">
        <f t="shared" si="102"/>
        <v/>
      </c>
      <c r="C198" s="139"/>
      <c r="D198" s="139"/>
      <c r="E198" s="134" t="str">
        <f t="shared" si="103"/>
        <v/>
      </c>
      <c r="F198" s="136" t="str">
        <f t="shared" si="104"/>
        <v/>
      </c>
      <c r="G198" s="106"/>
      <c r="H198" s="112" t="str">
        <f t="shared" si="105"/>
        <v/>
      </c>
      <c r="I198" s="113" t="str">
        <f t="shared" si="106"/>
        <v/>
      </c>
      <c r="J198" s="114" t="str">
        <f t="shared" si="107"/>
        <v/>
      </c>
      <c r="K198" s="107"/>
      <c r="L198" s="115" t="str">
        <f t="shared" si="108"/>
        <v/>
      </c>
      <c r="M198" s="140" t="str">
        <f t="shared" si="109"/>
        <v/>
      </c>
      <c r="N198" s="76"/>
      <c r="O198" s="76"/>
      <c r="P198" s="76"/>
      <c r="Q198" s="76"/>
      <c r="R198" s="108" t="str">
        <f t="shared" si="118"/>
        <v/>
      </c>
      <c r="S198" s="117" t="str">
        <f t="shared" si="119"/>
        <v/>
      </c>
      <c r="T198" s="118" t="str">
        <f t="shared" si="120"/>
        <v/>
      </c>
      <c r="U198" s="109" t="str">
        <f t="shared" si="121"/>
        <v/>
      </c>
      <c r="V198" s="119" t="str">
        <f t="shared" si="122"/>
        <v/>
      </c>
      <c r="W198" s="120" t="str">
        <f t="shared" si="110"/>
        <v/>
      </c>
      <c r="X198" s="121" t="str">
        <f t="shared" si="111"/>
        <v/>
      </c>
      <c r="Y198" s="122" t="str">
        <f t="shared" si="112"/>
        <v/>
      </c>
      <c r="Z198" s="123" t="e">
        <f t="shared" si="123"/>
        <v>#VALUE!</v>
      </c>
      <c r="AA198" s="124" t="e">
        <f t="shared" si="124"/>
        <v>#VALUE!</v>
      </c>
      <c r="AB198" s="96"/>
      <c r="AC198" s="105">
        <f t="shared" si="113"/>
        <v>4</v>
      </c>
      <c r="AD198" s="105">
        <f t="shared" si="114"/>
        <v>0</v>
      </c>
      <c r="AE198" s="105">
        <f t="shared" si="96"/>
        <v>438479.99999999994</v>
      </c>
      <c r="AF198" s="105">
        <f t="shared" si="115"/>
        <v>438479.99999999994</v>
      </c>
      <c r="AG198" s="110">
        <f t="shared" si="116"/>
        <v>0</v>
      </c>
    </row>
    <row r="199" spans="2:34" ht="15.75" hidden="1" x14ac:dyDescent="0.25">
      <c r="B199" s="138" t="str">
        <f t="shared" si="102"/>
        <v>DACS MagFan 2.2 kW</v>
      </c>
      <c r="C199" s="139"/>
      <c r="D199" s="139"/>
      <c r="E199" s="134">
        <f t="shared" si="103"/>
        <v>37.5</v>
      </c>
      <c r="F199" s="136" t="str">
        <f t="shared" si="104"/>
        <v>37 Pa</v>
      </c>
      <c r="G199" s="106"/>
      <c r="H199" s="112">
        <f t="shared" si="105"/>
        <v>0</v>
      </c>
      <c r="I199" s="113"/>
      <c r="J199" s="114"/>
      <c r="K199" s="107"/>
      <c r="L199" s="115"/>
      <c r="M199" s="140" t="str">
        <f t="shared" si="109"/>
        <v/>
      </c>
      <c r="N199" s="76"/>
      <c r="O199" s="76"/>
      <c r="P199" s="76"/>
      <c r="Q199" s="76"/>
      <c r="R199" s="108" t="e">
        <f t="shared" si="118"/>
        <v>#VALUE!</v>
      </c>
      <c r="S199" s="117">
        <f t="shared" si="119"/>
        <v>0</v>
      </c>
      <c r="T199" s="118">
        <f t="shared" si="120"/>
        <v>0</v>
      </c>
      <c r="U199" s="109" t="str">
        <f t="shared" si="121"/>
        <v/>
      </c>
      <c r="V199" s="119" t="str">
        <f t="shared" si="122"/>
        <v/>
      </c>
      <c r="W199" s="120" t="str">
        <f t="shared" si="110"/>
        <v/>
      </c>
      <c r="X199" s="121" t="str">
        <f t="shared" si="111"/>
        <v/>
      </c>
      <c r="Y199" s="122" t="str">
        <f t="shared" si="112"/>
        <v/>
      </c>
      <c r="Z199" s="123">
        <f t="shared" si="123"/>
        <v>0</v>
      </c>
      <c r="AA199" s="124">
        <f t="shared" si="124"/>
        <v>0</v>
      </c>
      <c r="AB199" s="96"/>
      <c r="AC199" s="105">
        <f t="shared" si="113"/>
        <v>4</v>
      </c>
      <c r="AD199" s="105">
        <f t="shared" si="114"/>
        <v>0</v>
      </c>
      <c r="AE199" s="105">
        <f t="shared" si="96"/>
        <v>438479.99999999994</v>
      </c>
      <c r="AF199" s="105">
        <f t="shared" si="115"/>
        <v>438479.99999999994</v>
      </c>
      <c r="AG199" s="110" t="str">
        <f t="shared" si="116"/>
        <v>25 Pa</v>
      </c>
    </row>
    <row r="200" spans="2:34" ht="15.75" hidden="1" x14ac:dyDescent="0.25">
      <c r="B200" s="138" t="e">
        <f>IF(#REF!="","",#REF!)</f>
        <v>#REF!</v>
      </c>
      <c r="C200" s="139"/>
      <c r="D200" s="139"/>
      <c r="E200" s="134" t="e">
        <f t="shared" si="103"/>
        <v>#REF!</v>
      </c>
      <c r="F200" s="136" t="e">
        <f>IF(E200="","",IF($H$14&gt;3.65,#REF!,IF($H$14&gt;=3,#REF!, IF($H$14&gt;=2.25,#REF!,IF($H$14&gt;=1.5,#REF!,#REF!)))))</f>
        <v>#REF!</v>
      </c>
      <c r="G200" s="106"/>
      <c r="H200" s="112" t="e">
        <f t="shared" si="105"/>
        <v>#REF!</v>
      </c>
      <c r="I200" s="113" t="e">
        <f t="shared" si="106"/>
        <v>#REF!</v>
      </c>
      <c r="J200" s="114" t="e">
        <f>+IF(#REF!="","",IF(H200&gt;0,ROUND((H200*((#REF!)/((#REF!)))/1000),1),ROUND((G200*((#REF!)/((#REF!)))/1000),1)))</f>
        <v>#REF!</v>
      </c>
      <c r="K200" s="107"/>
      <c r="L200" s="115" t="e">
        <f t="shared" si="108"/>
        <v>#REF!</v>
      </c>
      <c r="M200" s="140" t="e">
        <f t="shared" si="109"/>
        <v>#REF!</v>
      </c>
      <c r="N200" s="76"/>
      <c r="O200" s="76"/>
      <c r="P200" s="76"/>
      <c r="Q200" s="76"/>
      <c r="R200" s="108" t="e">
        <f t="shared" si="118"/>
        <v>#REF!</v>
      </c>
      <c r="S200" s="117" t="e">
        <f t="shared" si="119"/>
        <v>#REF!</v>
      </c>
      <c r="T200" s="118" t="e">
        <f t="shared" si="120"/>
        <v>#REF!</v>
      </c>
      <c r="U200" s="109" t="str">
        <f t="shared" si="121"/>
        <v/>
      </c>
      <c r="V200" s="119" t="str">
        <f t="shared" si="122"/>
        <v/>
      </c>
      <c r="W200" s="120" t="str">
        <f t="shared" si="110"/>
        <v/>
      </c>
      <c r="X200" s="121" t="str">
        <f t="shared" si="111"/>
        <v/>
      </c>
      <c r="Y200" s="122" t="str">
        <f t="shared" si="112"/>
        <v/>
      </c>
      <c r="Z200" s="123" t="e">
        <f t="shared" si="123"/>
        <v>#REF!</v>
      </c>
      <c r="AA200" s="124" t="e">
        <f t="shared" si="124"/>
        <v>#REF!</v>
      </c>
      <c r="AB200" s="96"/>
      <c r="AC200" s="105">
        <f t="shared" si="113"/>
        <v>4</v>
      </c>
      <c r="AD200" s="105">
        <f t="shared" si="114"/>
        <v>0</v>
      </c>
      <c r="AE200" s="105">
        <f t="shared" si="96"/>
        <v>438479.99999999994</v>
      </c>
      <c r="AF200" s="105">
        <f t="shared" si="115"/>
        <v>438479.99999999994</v>
      </c>
      <c r="AG200" s="110" t="e">
        <f>IF($H$14&gt;3.556,#REF!,IF($H$14&gt;=3.048,#REF!, IF($H$14&gt;=2.286,#REF!,IF($H$14&gt;=1.524,#REF!,#REF!))))</f>
        <v>#REF!</v>
      </c>
    </row>
    <row r="201" spans="2:34" ht="15.75" hidden="1" x14ac:dyDescent="0.25">
      <c r="B201" s="138" t="str">
        <f>IF(R77="","",R77)</f>
        <v>MagFan — 670 RPM</v>
      </c>
      <c r="C201" s="139"/>
      <c r="D201" s="139"/>
      <c r="E201" s="134">
        <f t="shared" si="103"/>
        <v>37.5</v>
      </c>
      <c r="F201" s="136">
        <f>IF(E201="","",IF($H$14&gt;3.65,W77,IF($H$14&gt;=3,V77, IF($H$14&gt;=2.25,U77,IF($H$14&gt;=1.5,T77,T77)))))</f>
        <v>55148</v>
      </c>
      <c r="G201" s="106">
        <f t="shared" si="117"/>
        <v>8</v>
      </c>
      <c r="H201" s="112">
        <f t="shared" si="105"/>
        <v>0</v>
      </c>
      <c r="I201" s="113">
        <f t="shared" si="106"/>
        <v>441200</v>
      </c>
      <c r="J201" s="114">
        <f>+IF(X77="","",IF(H201&gt;0,ROUND((H201*(($U77)/(($X77)))/1000),1),ROUND((G201*(($U77)/(($X77)))/1000),1)))</f>
        <v>10.1</v>
      </c>
      <c r="K201" s="107">
        <f>+IF(X77="","",IF(H201&gt;0,ROUND((H201*(($U77)/(($X77)))/1000*$H$13*$H$11),-1),ROUND((G201*(($U77)/(($X77)))/1000*$H$13*$H$11),-1)))+Z201</f>
        <v>6996.6</v>
      </c>
      <c r="L201" s="115">
        <f t="shared" si="108"/>
        <v>3.52</v>
      </c>
      <c r="M201" s="140">
        <f t="shared" si="109"/>
        <v>9.7160871904000015</v>
      </c>
      <c r="N201" s="76"/>
      <c r="O201" s="76"/>
      <c r="P201" s="76"/>
      <c r="Q201" s="76"/>
      <c r="R201" s="108">
        <f t="shared" si="118"/>
        <v>67.433070866141733</v>
      </c>
      <c r="S201" s="117">
        <f t="shared" si="119"/>
        <v>1473.6079999999999</v>
      </c>
      <c r="T201" s="118">
        <f t="shared" si="120"/>
        <v>2783.9719999999998</v>
      </c>
      <c r="U201" s="109" t="str">
        <f t="shared" si="121"/>
        <v/>
      </c>
      <c r="V201" s="119">
        <f t="shared" si="122"/>
        <v>34983</v>
      </c>
      <c r="W201" s="120" t="str">
        <f t="shared" si="110"/>
        <v/>
      </c>
      <c r="X201" s="121">
        <f t="shared" si="111"/>
        <v>69966</v>
      </c>
      <c r="Y201" s="122" t="str">
        <f t="shared" si="112"/>
        <v/>
      </c>
      <c r="Z201" s="123">
        <f t="shared" si="123"/>
        <v>666.59999999999991</v>
      </c>
      <c r="AA201" s="124">
        <f t="shared" si="124"/>
        <v>6665.9999999999991</v>
      </c>
      <c r="AB201" s="96"/>
      <c r="AC201" s="105">
        <f t="shared" si="113"/>
        <v>4</v>
      </c>
      <c r="AD201" s="105">
        <f t="shared" si="114"/>
        <v>0</v>
      </c>
      <c r="AE201" s="105">
        <f t="shared" si="96"/>
        <v>438479.99999999994</v>
      </c>
      <c r="AF201" s="105">
        <f t="shared" si="115"/>
        <v>438479.99999999994</v>
      </c>
      <c r="AG201" s="110">
        <f>IF($H$14&gt;3.556,V77,IF($H$14&gt;=3.048,U77, IF($H$14&gt;=2.286,T77,IF($H$14&gt;=1.524,T77,T77))))</f>
        <v>57807</v>
      </c>
    </row>
    <row r="202" spans="2:34" ht="15.75" hidden="1" x14ac:dyDescent="0.25">
      <c r="B202" s="138" t="str">
        <f>IF(R76="","",R76)</f>
        <v>MagFan — 645 RPM</v>
      </c>
      <c r="C202" s="139"/>
      <c r="D202" s="139"/>
      <c r="E202" s="134">
        <f t="shared" si="103"/>
        <v>37.5</v>
      </c>
      <c r="F202" s="136">
        <f>IF(E202="","",IF($H$14&gt;3.65,W76,IF($H$14&gt;=3,V76, IF($H$14&gt;=2.25,U76,IF($H$14&gt;=1.5,T76,T76)))))</f>
        <v>52151</v>
      </c>
      <c r="G202" s="106">
        <f t="shared" si="117"/>
        <v>9</v>
      </c>
      <c r="H202" s="112">
        <f t="shared" si="105"/>
        <v>0</v>
      </c>
      <c r="I202" s="113">
        <f t="shared" si="106"/>
        <v>469400</v>
      </c>
      <c r="J202" s="114">
        <f>+IF(X76="","",IF(H202&gt;0,ROUND((H202*(($U76)/(($X76)))/1000),1),ROUND((G202*(($U76)/(($X76)))/1000),1)))</f>
        <v>10.4</v>
      </c>
      <c r="K202" s="107">
        <f>+IF(X76="","",IF(H202&gt;0,ROUND((H202*(($U76)/(($X76)))/1000*$H$13*$H$11),-1),ROUND((G202*(($U76)/(($X76)))/1000*$H$13*$H$11),-1)))+Z202</f>
        <v>7206.4</v>
      </c>
      <c r="L202" s="115">
        <f t="shared" si="108"/>
        <v>3.75</v>
      </c>
      <c r="M202" s="140">
        <f t="shared" si="109"/>
        <v>9.7160871904000015</v>
      </c>
      <c r="N202" s="76"/>
      <c r="O202" s="76"/>
      <c r="P202" s="76"/>
      <c r="Q202" s="76"/>
      <c r="R202" s="108">
        <f t="shared" si="118"/>
        <v>72.427821522309713</v>
      </c>
      <c r="S202" s="117">
        <f t="shared" si="119"/>
        <v>1567.796</v>
      </c>
      <c r="T202" s="118">
        <f t="shared" si="120"/>
        <v>2961.9139999999998</v>
      </c>
      <c r="U202" s="109" t="e">
        <f t="shared" si="121"/>
        <v>#VALUE!</v>
      </c>
      <c r="V202" s="119">
        <f t="shared" si="122"/>
        <v>36032</v>
      </c>
      <c r="W202" s="120" t="e">
        <f t="shared" si="110"/>
        <v>#VALUE!</v>
      </c>
      <c r="X202" s="121">
        <f t="shared" si="111"/>
        <v>72064</v>
      </c>
      <c r="Y202" s="122" t="e">
        <f t="shared" si="112"/>
        <v>#VALUE!</v>
      </c>
      <c r="Z202" s="123">
        <f t="shared" si="123"/>
        <v>686.40000000000009</v>
      </c>
      <c r="AA202" s="124">
        <f t="shared" si="124"/>
        <v>6864.0000000000009</v>
      </c>
      <c r="AB202" s="96"/>
      <c r="AC202" s="105">
        <f t="shared" si="113"/>
        <v>4</v>
      </c>
      <c r="AD202" s="105">
        <f t="shared" si="114"/>
        <v>0</v>
      </c>
      <c r="AE202" s="105">
        <f t="shared" si="96"/>
        <v>438479.99999999994</v>
      </c>
      <c r="AF202" s="105">
        <f t="shared" si="115"/>
        <v>438479.99999999994</v>
      </c>
      <c r="AG202" s="110">
        <f>IF($H$14&gt;3.556,V76,IF($H$14&gt;=3.048,U76, IF($H$14&gt;=2.286,T76,IF($H$14&gt;=1.524,T76,T76))))</f>
        <v>55190</v>
      </c>
    </row>
    <row r="203" spans="2:34" ht="15.75" hidden="1" x14ac:dyDescent="0.25">
      <c r="B203" s="138" t="str">
        <f>IF(R75="","",R75)</f>
        <v>MagFan — 630 RPM</v>
      </c>
      <c r="C203" s="139"/>
      <c r="D203" s="139"/>
      <c r="E203" s="134">
        <f t="shared" si="103"/>
        <v>37.5</v>
      </c>
      <c r="F203" s="136">
        <f>IF(E203="","",IF($H$14&gt;3.65,W75,IF($H$14&gt;=3,V75, IF($H$14&gt;=2.25,U75,IF($H$14&gt;=1.5,T75,T75)))))</f>
        <v>50467</v>
      </c>
      <c r="G203" s="106">
        <f t="shared" si="117"/>
        <v>9</v>
      </c>
      <c r="H203" s="112">
        <f t="shared" si="105"/>
        <v>0</v>
      </c>
      <c r="I203" s="113">
        <f t="shared" si="106"/>
        <v>454200</v>
      </c>
      <c r="J203" s="114">
        <f>+IF(X75="","",IF(H203&gt;0,ROUND((H203*(($U75)/(($X75)))/1000),1),ROUND((G203*(($U75)/(($X75)))/1000),1)))</f>
        <v>9.8000000000000007</v>
      </c>
      <c r="K203" s="107">
        <f>+IF(X75="","",IF(H203&gt;0,ROUND((H203*(($U75)/(($X75)))/1000*$H$13*$H$11),-1),ROUND((G203*(($U75)/(($X75)))/1000*$H$13*$H$11),-1)))+Z203</f>
        <v>6766.8</v>
      </c>
      <c r="L203" s="115">
        <f t="shared" si="108"/>
        <v>3.63</v>
      </c>
      <c r="M203" s="140">
        <f t="shared" si="109"/>
        <v>9.7160871904000015</v>
      </c>
      <c r="N203" s="76"/>
      <c r="O203" s="76"/>
      <c r="P203" s="76"/>
      <c r="Q203" s="76"/>
      <c r="R203" s="108">
        <f t="shared" si="118"/>
        <v>70.776902887139101</v>
      </c>
      <c r="S203" s="117">
        <f t="shared" si="119"/>
        <v>1517.028</v>
      </c>
      <c r="T203" s="118">
        <f t="shared" si="120"/>
        <v>2866.002</v>
      </c>
      <c r="U203" s="109" t="e">
        <f t="shared" si="121"/>
        <v>#VALUE!</v>
      </c>
      <c r="V203" s="119">
        <f t="shared" si="122"/>
        <v>33834</v>
      </c>
      <c r="W203" s="120" t="e">
        <f t="shared" si="110"/>
        <v>#VALUE!</v>
      </c>
      <c r="X203" s="121">
        <f t="shared" si="111"/>
        <v>67668</v>
      </c>
      <c r="Y203" s="122" t="e">
        <f t="shared" si="112"/>
        <v>#VALUE!</v>
      </c>
      <c r="Z203" s="123">
        <f t="shared" si="123"/>
        <v>646.80000000000007</v>
      </c>
      <c r="AA203" s="124">
        <f t="shared" si="124"/>
        <v>6468.0000000000009</v>
      </c>
      <c r="AB203" s="96"/>
      <c r="AC203" s="105">
        <f t="shared" si="113"/>
        <v>4</v>
      </c>
      <c r="AD203" s="105">
        <f t="shared" si="114"/>
        <v>0</v>
      </c>
      <c r="AE203" s="105">
        <f t="shared" si="96"/>
        <v>438479.99999999994</v>
      </c>
      <c r="AF203" s="105">
        <f t="shared" si="115"/>
        <v>438479.99999999994</v>
      </c>
      <c r="AG203" s="110">
        <f>IF($H$14&gt;3.556,V75,IF($H$14&gt;=3.048,U75, IF($H$14&gt;=2.286,T75,IF($H$14&gt;=1.524,T75,T75))))</f>
        <v>53932</v>
      </c>
    </row>
    <row r="204" spans="2:34" ht="15.75" hidden="1" x14ac:dyDescent="0.25">
      <c r="B204" s="138" t="str">
        <f>IF(R74="","",R74)</f>
        <v>MagFan — 612 RPM</v>
      </c>
      <c r="C204" s="139"/>
      <c r="D204" s="139"/>
      <c r="E204" s="134">
        <f t="shared" si="103"/>
        <v>37.5</v>
      </c>
      <c r="F204" s="136">
        <f>IF(E204="","",IF($H$14&gt;3.65,W74,IF($H$14&gt;=3,V74, IF($H$14&gt;=2.25,U74,IF($H$14&gt;=1.5,T74,T74)))))</f>
        <v>48729</v>
      </c>
      <c r="G204" s="106">
        <f t="shared" si="117"/>
        <v>9</v>
      </c>
      <c r="H204" s="112">
        <f t="shared" si="105"/>
        <v>0</v>
      </c>
      <c r="I204" s="113">
        <f t="shared" si="106"/>
        <v>438600</v>
      </c>
      <c r="J204" s="114">
        <f>+IF(X74="","",IF(H204&gt;0,ROUND((H204*(($U74)/(($X74)))/1000),1),ROUND((G204*(($U74)/(($X74)))/1000),1)))</f>
        <v>9.1999999999999993</v>
      </c>
      <c r="K204" s="107">
        <f>+IF(X74="","",IF(H204&gt;0,ROUND((H204*(($U74)/(($X74)))/1000*$H$13*$H$11),-1),ROUND((G204*(($U74)/(($X74)))/1000*$H$13*$H$11),-1)))+Z204</f>
        <v>6347.2</v>
      </c>
      <c r="L204" s="115">
        <f t="shared" si="108"/>
        <v>3.5</v>
      </c>
      <c r="M204" s="140">
        <f t="shared" si="109"/>
        <v>9.7160871904000015</v>
      </c>
      <c r="N204" s="76"/>
      <c r="O204" s="76"/>
      <c r="P204" s="76"/>
      <c r="Q204" s="76"/>
      <c r="R204" s="108">
        <f t="shared" si="118"/>
        <v>67.69553805774278</v>
      </c>
      <c r="S204" s="117">
        <f t="shared" si="119"/>
        <v>1464.924</v>
      </c>
      <c r="T204" s="118">
        <f t="shared" si="120"/>
        <v>2767.5659999999998</v>
      </c>
      <c r="U204" s="109">
        <f t="shared" si="121"/>
        <v>123.3</v>
      </c>
      <c r="V204" s="119">
        <f t="shared" si="122"/>
        <v>31736</v>
      </c>
      <c r="W204" s="120">
        <f t="shared" si="110"/>
        <v>31859.3</v>
      </c>
      <c r="X204" s="121">
        <f t="shared" si="111"/>
        <v>63472</v>
      </c>
      <c r="Y204" s="122">
        <f t="shared" si="112"/>
        <v>63595.3</v>
      </c>
      <c r="Z204" s="123">
        <f t="shared" si="123"/>
        <v>607.19999999999993</v>
      </c>
      <c r="AA204" s="124">
        <f t="shared" si="124"/>
        <v>6071.9999999999991</v>
      </c>
      <c r="AB204" s="96"/>
      <c r="AC204" s="105">
        <f t="shared" si="113"/>
        <v>4</v>
      </c>
      <c r="AD204" s="105">
        <f t="shared" si="114"/>
        <v>0</v>
      </c>
      <c r="AE204" s="105">
        <f t="shared" si="96"/>
        <v>438479.99999999994</v>
      </c>
      <c r="AF204" s="105">
        <f t="shared" si="115"/>
        <v>438479.99999999994</v>
      </c>
      <c r="AG204" s="110">
        <f>IF($H$14&gt;3.556,V74,IF($H$14&gt;=3.048,U74, IF($H$14&gt;=2.286,T74,IF($H$14&gt;=1.524,T74,T74))))</f>
        <v>51584</v>
      </c>
    </row>
    <row r="205" spans="2:34" ht="15.75" hidden="1" x14ac:dyDescent="0.25">
      <c r="B205" s="138" t="str">
        <f>IF(R73="","",R73)</f>
        <v>MagFan — 600 RPM</v>
      </c>
      <c r="C205" s="139"/>
      <c r="D205" s="139"/>
      <c r="E205" s="134">
        <f t="shared" si="103"/>
        <v>37.5</v>
      </c>
      <c r="F205" s="136">
        <f>IF(E205="","",IF($H$14&gt;3.65,W73,IF($H$14&gt;=3,V73, IF($H$14&gt;=2.25,U73,IF($H$14&gt;=1.5,T73,T73)))))</f>
        <v>46843</v>
      </c>
      <c r="G205" s="106">
        <f t="shared" si="117"/>
        <v>10</v>
      </c>
      <c r="H205" s="112">
        <f t="shared" si="105"/>
        <v>0</v>
      </c>
      <c r="I205" s="113">
        <f t="shared" si="106"/>
        <v>468400</v>
      </c>
      <c r="J205" s="114">
        <f>+IF(X73="","",IF(H205&gt;0,ROUND((H205*(($U73)/(($X73)))/1000),1),ROUND((G205*(($U73)/(($X73)))/1000),1)))</f>
        <v>9.6</v>
      </c>
      <c r="K205" s="107">
        <f>+IF(X73="","",IF(H205&gt;0,ROUND((H205*(($U73)/(($X73)))/1000*$H$13*$H$11),-1),ROUND((G205*(($U73)/(($X73)))/1000*$H$13*$H$11),-1)))+Z205</f>
        <v>6623.6</v>
      </c>
      <c r="L205" s="115">
        <f t="shared" si="108"/>
        <v>3.74</v>
      </c>
      <c r="M205" s="140">
        <f t="shared" si="109"/>
        <v>9.7160871904000015</v>
      </c>
      <c r="N205" s="76"/>
      <c r="O205" s="76"/>
      <c r="P205" s="76"/>
      <c r="Q205" s="76"/>
      <c r="R205" s="108">
        <f t="shared" si="118"/>
        <v>73.38874307378245</v>
      </c>
      <c r="S205" s="117">
        <f t="shared" si="119"/>
        <v>1564.4560000000001</v>
      </c>
      <c r="T205" s="118">
        <f t="shared" si="120"/>
        <v>2955.6039999999998</v>
      </c>
      <c r="U205" s="109">
        <f t="shared" si="121"/>
        <v>146</v>
      </c>
      <c r="V205" s="119">
        <f t="shared" si="122"/>
        <v>33118</v>
      </c>
      <c r="W205" s="120">
        <f t="shared" si="110"/>
        <v>33264</v>
      </c>
      <c r="X205" s="121">
        <f t="shared" si="111"/>
        <v>66236</v>
      </c>
      <c r="Y205" s="122">
        <f t="shared" si="112"/>
        <v>66382</v>
      </c>
      <c r="Z205" s="123">
        <f t="shared" si="123"/>
        <v>633.59999999999991</v>
      </c>
      <c r="AA205" s="124">
        <f t="shared" si="124"/>
        <v>6335.9999999999991</v>
      </c>
      <c r="AB205" s="96"/>
      <c r="AC205" s="105">
        <f t="shared" si="113"/>
        <v>4</v>
      </c>
      <c r="AD205" s="105">
        <f t="shared" si="114"/>
        <v>0</v>
      </c>
      <c r="AE205" s="105">
        <f t="shared" si="96"/>
        <v>438479.99999999994</v>
      </c>
      <c r="AF205" s="105">
        <f t="shared" si="115"/>
        <v>438479.99999999994</v>
      </c>
      <c r="AG205" s="110">
        <f>IF($H$14&gt;3.556,V73,IF($H$14&gt;=3.048,U73, IF($H$14&gt;=2.286,T73,IF($H$14&gt;=1.524,T73,T73))))</f>
        <v>50330</v>
      </c>
    </row>
    <row r="206" spans="2:34" ht="15.75" hidden="1" x14ac:dyDescent="0.25">
      <c r="B206" s="138" t="str">
        <f>IF(R72="","",R72)</f>
        <v>MagFan — 582 RPM</v>
      </c>
      <c r="C206" s="139"/>
      <c r="D206" s="139"/>
      <c r="E206" s="134">
        <f t="shared" si="103"/>
        <v>37.5</v>
      </c>
      <c r="F206" s="136">
        <f>IF(E206="","",IF($H$14&gt;3.65,W72,IF($H$14&gt;=3,V72, IF($H$14&gt;=2.25,U72,IF($H$14&gt;=1.5,T72,T72)))))</f>
        <v>45253</v>
      </c>
      <c r="G206" s="106">
        <f t="shared" si="117"/>
        <v>10</v>
      </c>
      <c r="H206" s="112">
        <f t="shared" si="105"/>
        <v>0</v>
      </c>
      <c r="I206" s="113">
        <f t="shared" si="106"/>
        <v>452500</v>
      </c>
      <c r="J206" s="114">
        <f>+IF(X72="","",IF(H206&gt;0,ROUND((H206*(($U72)/(($X72)))/1000),1),ROUND((G206*(($U72)/(($X72)))/1000),1)))</f>
        <v>8.9</v>
      </c>
      <c r="K206" s="107">
        <f>+IF(X72="","",IF(H206&gt;0,ROUND((H206*(($U72)/(($X72)))/1000*$H$13*$H$11),-1),ROUND((G206*(($U72)/(($X72)))/1000*$H$13*$H$11),-1)))+Z206</f>
        <v>6187.4</v>
      </c>
      <c r="L206" s="115">
        <f t="shared" si="108"/>
        <v>3.61</v>
      </c>
      <c r="M206" s="140">
        <f t="shared" si="109"/>
        <v>9.7160871904000015</v>
      </c>
      <c r="N206" s="76"/>
      <c r="O206" s="76"/>
      <c r="P206" s="76"/>
      <c r="Q206" s="76"/>
      <c r="R206" s="108">
        <f t="shared" si="118"/>
        <v>70.307669874599014</v>
      </c>
      <c r="S206" s="117">
        <f t="shared" si="119"/>
        <v>1511.3500000000001</v>
      </c>
      <c r="T206" s="118">
        <f t="shared" si="120"/>
        <v>2855.2749999999996</v>
      </c>
      <c r="U206" s="109">
        <f t="shared" si="121"/>
        <v>148</v>
      </c>
      <c r="V206" s="119">
        <f t="shared" si="122"/>
        <v>30937</v>
      </c>
      <c r="W206" s="120">
        <f t="shared" si="110"/>
        <v>31085</v>
      </c>
      <c r="X206" s="121">
        <f t="shared" si="111"/>
        <v>61874</v>
      </c>
      <c r="Y206" s="122">
        <f t="shared" si="112"/>
        <v>62022</v>
      </c>
      <c r="Z206" s="123">
        <f t="shared" si="123"/>
        <v>587.40000000000009</v>
      </c>
      <c r="AA206" s="124">
        <f t="shared" si="124"/>
        <v>5874.0000000000009</v>
      </c>
      <c r="AB206" s="96"/>
      <c r="AC206" s="105">
        <f t="shared" si="113"/>
        <v>4</v>
      </c>
      <c r="AD206" s="105">
        <f t="shared" si="114"/>
        <v>0</v>
      </c>
      <c r="AE206" s="105">
        <f t="shared" si="96"/>
        <v>438479.99999999994</v>
      </c>
      <c r="AF206" s="105">
        <f t="shared" si="115"/>
        <v>438479.99999999994</v>
      </c>
      <c r="AG206" s="110">
        <f>IF($H$14&gt;3.556,V72,IF($H$14&gt;=3.048,U72, IF($H$14&gt;=2.286,T72,IF($H$14&gt;=1.524,T72,T72))))</f>
        <v>48217</v>
      </c>
    </row>
    <row r="207" spans="2:34" ht="15.75" hidden="1" x14ac:dyDescent="0.25">
      <c r="B207" s="138" t="str">
        <f>IF(R71="","",R71)</f>
        <v>MagFan — 558 RPM</v>
      </c>
      <c r="C207" s="139"/>
      <c r="D207" s="139"/>
      <c r="E207" s="134">
        <f t="shared" si="103"/>
        <v>37.5</v>
      </c>
      <c r="F207" s="136">
        <f>IF(E207="","",IF($H$14&gt;3.65,W71,IF($H$14&gt;=3,V71, IF($H$14&gt;=2.25,U71,IF($H$14&gt;=1.5,T71,T71)))))</f>
        <v>41803</v>
      </c>
      <c r="G207" s="106">
        <f t="shared" si="117"/>
        <v>11</v>
      </c>
      <c r="H207" s="112">
        <f t="shared" si="105"/>
        <v>0</v>
      </c>
      <c r="I207" s="113">
        <f t="shared" si="106"/>
        <v>459800</v>
      </c>
      <c r="J207" s="114">
        <f>+IF(X71="","",IF(H207&gt;0,ROUND((H207*(($U71)/(($X71)))/1000),1),ROUND((G207*(($U71)/(($X71)))/1000),1)))</f>
        <v>8.8000000000000007</v>
      </c>
      <c r="K207" s="107">
        <f>+IF(X71="","",IF(H207&gt;0,ROUND((H207*(($U71)/(($X71)))/1000*$H$13*$H$11),-1),ROUND((G207*(($U71)/(($X71)))/1000*$H$13*$H$11),-1)))+Z207</f>
        <v>6080.8</v>
      </c>
      <c r="L207" s="115">
        <f t="shared" si="108"/>
        <v>3.67</v>
      </c>
      <c r="M207" s="140">
        <f t="shared" si="109"/>
        <v>9.7160871904000015</v>
      </c>
      <c r="N207" s="76"/>
      <c r="O207" s="76"/>
      <c r="P207" s="76"/>
      <c r="Q207" s="76"/>
      <c r="R207" s="108">
        <f t="shared" si="118"/>
        <v>73.163312919218427</v>
      </c>
      <c r="S207" s="117">
        <f t="shared" si="119"/>
        <v>1535.732</v>
      </c>
      <c r="T207" s="118">
        <f t="shared" si="120"/>
        <v>2901.3379999999997</v>
      </c>
      <c r="U207" s="109">
        <f t="shared" si="121"/>
        <v>136.4</v>
      </c>
      <c r="V207" s="119">
        <f t="shared" si="122"/>
        <v>30404</v>
      </c>
      <c r="W207" s="120">
        <f t="shared" si="110"/>
        <v>30540.400000000001</v>
      </c>
      <c r="X207" s="121">
        <f t="shared" si="111"/>
        <v>60808</v>
      </c>
      <c r="Y207" s="122">
        <f t="shared" si="112"/>
        <v>60944.4</v>
      </c>
      <c r="Z207" s="123">
        <f t="shared" si="123"/>
        <v>580.80000000000007</v>
      </c>
      <c r="AA207" s="124">
        <f t="shared" si="124"/>
        <v>5808.0000000000009</v>
      </c>
      <c r="AB207" s="96"/>
      <c r="AC207" s="105">
        <f t="shared" si="113"/>
        <v>4</v>
      </c>
      <c r="AD207" s="105">
        <f t="shared" si="114"/>
        <v>0</v>
      </c>
      <c r="AE207" s="105">
        <f t="shared" si="96"/>
        <v>438479.99999999994</v>
      </c>
      <c r="AF207" s="105">
        <f t="shared" si="115"/>
        <v>438479.99999999994</v>
      </c>
      <c r="AG207" s="110">
        <f>IF($H$14&gt;3.556,V71,IF($H$14&gt;=3.048,U71, IF($H$14&gt;=2.286,T71,IF($H$14&gt;=1.524,T71,T71))))</f>
        <v>45614</v>
      </c>
    </row>
    <row r="208" spans="2:34" ht="15.75" hidden="1" x14ac:dyDescent="0.25">
      <c r="B208" s="138" t="str">
        <f>IF(R70="","",R70)</f>
        <v>MagFan — 534 RPM</v>
      </c>
      <c r="C208" s="139"/>
      <c r="D208" s="139"/>
      <c r="E208" s="134">
        <f t="shared" si="103"/>
        <v>37.5</v>
      </c>
      <c r="F208" s="136">
        <f>IF(E208="","",IF($H$14&gt;3.65,W70,IF($H$14&gt;=3,V70, IF($H$14&gt;=2.25,U70,IF($H$14&gt;=1.5,T70,T70)))))</f>
        <v>38479</v>
      </c>
      <c r="G208" s="106">
        <f t="shared" si="117"/>
        <v>12</v>
      </c>
      <c r="H208" s="112">
        <f t="shared" si="105"/>
        <v>0</v>
      </c>
      <c r="I208" s="113">
        <f t="shared" si="106"/>
        <v>461700</v>
      </c>
      <c r="J208" s="114">
        <f>+IF(X70="","",IF(H208&gt;0,ROUND((H208*(($U70)/(($X70)))/1000),1),ROUND((G208*(($U70)/(($X70)))/1000),1)))</f>
        <v>8.5</v>
      </c>
      <c r="K208" s="107">
        <f>+IF(X70="","",IF(H208&gt;0,ROUND((H208*(($U70)/(($X70)))/1000*$H$13*$H$11),-1),ROUND((G208*(($U70)/(($X70)))/1000*$H$13*$H$11),-1)))+Z208</f>
        <v>5911</v>
      </c>
      <c r="L208" s="115">
        <f t="shared" si="108"/>
        <v>3.69</v>
      </c>
      <c r="M208" s="140">
        <f t="shared" si="109"/>
        <v>9.7160871904000015</v>
      </c>
      <c r="N208" s="76"/>
      <c r="O208" s="76"/>
      <c r="P208" s="76"/>
      <c r="Q208" s="76"/>
      <c r="R208" s="108">
        <f t="shared" si="118"/>
        <v>74.586176727909006</v>
      </c>
      <c r="S208" s="117">
        <f t="shared" si="119"/>
        <v>1542.078</v>
      </c>
      <c r="T208" s="118">
        <f t="shared" si="120"/>
        <v>2913.3269999999998</v>
      </c>
      <c r="U208" s="109">
        <f t="shared" si="121"/>
        <v>223.20000000000002</v>
      </c>
      <c r="V208" s="119">
        <f t="shared" si="122"/>
        <v>29555</v>
      </c>
      <c r="W208" s="120">
        <f t="shared" si="110"/>
        <v>29778.2</v>
      </c>
      <c r="X208" s="121">
        <f t="shared" si="111"/>
        <v>59110</v>
      </c>
      <c r="Y208" s="122">
        <f t="shared" si="112"/>
        <v>59333.2</v>
      </c>
      <c r="Z208" s="123">
        <f t="shared" si="123"/>
        <v>561</v>
      </c>
      <c r="AA208" s="124">
        <f t="shared" si="124"/>
        <v>5610</v>
      </c>
      <c r="AB208" s="96"/>
      <c r="AC208" s="105">
        <f t="shared" si="113"/>
        <v>4</v>
      </c>
      <c r="AD208" s="105">
        <f t="shared" si="114"/>
        <v>0</v>
      </c>
      <c r="AE208" s="105">
        <f t="shared" si="96"/>
        <v>438479.99999999994</v>
      </c>
      <c r="AF208" s="105">
        <f t="shared" si="115"/>
        <v>438479.99999999994</v>
      </c>
      <c r="AG208" s="110">
        <f>IF($H$14&gt;3.556,V70,IF($H$14&gt;=3.048,U70, IF($H$14&gt;=2.286,T70,IF($H$14&gt;=1.524,T70,T70))))</f>
        <v>42626</v>
      </c>
    </row>
    <row r="209" spans="2:33" ht="15.75" hidden="1" x14ac:dyDescent="0.25">
      <c r="B209" s="138" t="str">
        <f>IF(R69="","",R69)</f>
        <v>MagFan — 516 RPM</v>
      </c>
      <c r="C209" s="139"/>
      <c r="D209" s="139"/>
      <c r="E209" s="134">
        <f t="shared" si="103"/>
        <v>37.5</v>
      </c>
      <c r="F209" s="136">
        <f>IF(E209="","",IF($H$14&gt;3.65,W69,IF($H$14&gt;=3,V69, IF($H$14&gt;=2.25,U69,IF($H$14&gt;=1.5,T69,T69)))))</f>
        <v>36160</v>
      </c>
      <c r="G209" s="106">
        <f t="shared" si="117"/>
        <v>13</v>
      </c>
      <c r="H209" s="112">
        <f t="shared" si="105"/>
        <v>0</v>
      </c>
      <c r="I209" s="113">
        <f t="shared" si="106"/>
        <v>470100</v>
      </c>
      <c r="J209" s="114">
        <f>+IF(X69="","",IF(H209&gt;0,ROUND((H209*(($U69)/(($X69)))/1000),1),ROUND((G209*(($U69)/(($X69)))/1000),1)))</f>
        <v>8.5</v>
      </c>
      <c r="K209" s="107">
        <f>+IF(X69="","",IF(H209&gt;0,ROUND((H209*(($U69)/(($X69)))/1000*$H$13*$H$11),-1),ROUND((G209*(($U69)/(($X69)))/1000*$H$13*$H$11),-1)))+Z209</f>
        <v>5911</v>
      </c>
      <c r="L209" s="115">
        <f t="shared" si="108"/>
        <v>3.75</v>
      </c>
      <c r="M209" s="140">
        <f t="shared" si="109"/>
        <v>9.7160871904000015</v>
      </c>
      <c r="N209" s="76"/>
      <c r="O209" s="76"/>
      <c r="P209" s="76"/>
      <c r="Q209" s="76"/>
      <c r="R209" s="108">
        <f t="shared" si="118"/>
        <v>76.837999416739578</v>
      </c>
      <c r="S209" s="117">
        <f t="shared" si="119"/>
        <v>1570.134</v>
      </c>
      <c r="T209" s="118">
        <f t="shared" si="120"/>
        <v>2966.3309999999997</v>
      </c>
      <c r="U209" s="109">
        <f t="shared" si="121"/>
        <v>297.7</v>
      </c>
      <c r="V209" s="119">
        <f t="shared" si="122"/>
        <v>29555</v>
      </c>
      <c r="W209" s="120">
        <f t="shared" si="110"/>
        <v>29852.7</v>
      </c>
      <c r="X209" s="121">
        <f t="shared" si="111"/>
        <v>59110</v>
      </c>
      <c r="Y209" s="122">
        <f t="shared" si="112"/>
        <v>59407.7</v>
      </c>
      <c r="Z209" s="123">
        <f t="shared" si="123"/>
        <v>561</v>
      </c>
      <c r="AA209" s="124">
        <f t="shared" si="124"/>
        <v>5610</v>
      </c>
      <c r="AB209" s="96"/>
      <c r="AC209" s="105">
        <f t="shared" si="113"/>
        <v>4</v>
      </c>
      <c r="AD209" s="105">
        <f t="shared" si="114"/>
        <v>0</v>
      </c>
      <c r="AE209" s="105">
        <f t="shared" si="96"/>
        <v>438479.99999999994</v>
      </c>
      <c r="AF209" s="105">
        <f t="shared" si="115"/>
        <v>438479.99999999994</v>
      </c>
      <c r="AG209" s="110">
        <f>IF($H$14&gt;3.556,V69,IF($H$14&gt;=3.048,U69, IF($H$14&gt;=2.286,T69,IF($H$14&gt;=1.524,T69,T69))))</f>
        <v>40535</v>
      </c>
    </row>
    <row r="210" spans="2:33" ht="15.75" hidden="1" x14ac:dyDescent="0.25">
      <c r="B210" s="138" t="str">
        <f>IF(R68="","",R68)</f>
        <v>MagFan — 492 RPM</v>
      </c>
      <c r="C210" s="139"/>
      <c r="D210" s="139"/>
      <c r="E210" s="134">
        <f t="shared" si="103"/>
        <v>37.5</v>
      </c>
      <c r="F210" s="136">
        <f>IF(E210="","",IF($H$14&gt;3.65,W68,IF($H$14&gt;=3,V68, IF($H$14&gt;=2.25,U68,IF($H$14&gt;=1.5,T68,T68)))))</f>
        <v>32810</v>
      </c>
      <c r="G210" s="106">
        <f t="shared" si="117"/>
        <v>14</v>
      </c>
      <c r="H210" s="112">
        <f t="shared" si="105"/>
        <v>0</v>
      </c>
      <c r="I210" s="113">
        <f t="shared" si="106"/>
        <v>459300</v>
      </c>
      <c r="J210" s="114">
        <f>+IF(X68="","",IF(H210&gt;0,ROUND((H210*(($U68)/(($X68)))/1000),1),ROUND((G210*(($U68)/(($X68)))/1000),1)))</f>
        <v>8.1</v>
      </c>
      <c r="K210" s="107">
        <f>+IF(X68="","",IF(H210&gt;0,ROUND((H210*(($U68)/(($X68)))/1000*$H$13*$H$11),-1),ROUND((G210*(($U68)/(($X68)))/1000*$H$13*$H$11),-1)))+Z210</f>
        <v>5604.6</v>
      </c>
      <c r="L210" s="115">
        <f t="shared" si="108"/>
        <v>3.67</v>
      </c>
      <c r="M210" s="140">
        <f t="shared" si="109"/>
        <v>9.7160871904000015</v>
      </c>
      <c r="N210" s="76"/>
      <c r="O210" s="76"/>
      <c r="P210" s="76"/>
      <c r="Q210" s="76"/>
      <c r="R210" s="108">
        <f t="shared" si="118"/>
        <v>76.114027413240009</v>
      </c>
      <c r="S210" s="117">
        <f t="shared" si="119"/>
        <v>1534.0620000000001</v>
      </c>
      <c r="T210" s="118">
        <f t="shared" si="120"/>
        <v>2898.183</v>
      </c>
      <c r="U210" s="109">
        <f t="shared" si="121"/>
        <v>208.6</v>
      </c>
      <c r="V210" s="119">
        <f t="shared" si="122"/>
        <v>28023</v>
      </c>
      <c r="W210" s="120">
        <f t="shared" si="110"/>
        <v>28231.599999999999</v>
      </c>
      <c r="X210" s="121">
        <f t="shared" si="111"/>
        <v>56046</v>
      </c>
      <c r="Y210" s="122">
        <f t="shared" si="112"/>
        <v>56254.6</v>
      </c>
      <c r="Z210" s="123">
        <f t="shared" si="123"/>
        <v>534.59999999999991</v>
      </c>
      <c r="AA210" s="124">
        <f t="shared" si="124"/>
        <v>5345.9999999999991</v>
      </c>
      <c r="AB210" s="96"/>
      <c r="AC210" s="105">
        <f t="shared" si="113"/>
        <v>4</v>
      </c>
      <c r="AD210" s="105">
        <f t="shared" si="114"/>
        <v>0</v>
      </c>
      <c r="AE210" s="105">
        <f t="shared" si="96"/>
        <v>438479.99999999994</v>
      </c>
      <c r="AF210" s="105">
        <f t="shared" si="115"/>
        <v>438479.99999999994</v>
      </c>
      <c r="AG210" s="110">
        <f>IF($H$14&gt;3.556,V68,IF($H$14&gt;=3.048,U68, IF($H$14&gt;=2.286,T68,IF($H$14&gt;=1.524,T68,T68))))</f>
        <v>37285</v>
      </c>
    </row>
    <row r="211" spans="2:33" ht="15.75" hidden="1" x14ac:dyDescent="0.25">
      <c r="B211" s="138" t="str">
        <f>IF(R67="","",R67)</f>
        <v>MagFan — 474 RPM</v>
      </c>
      <c r="C211" s="139"/>
      <c r="D211" s="139"/>
      <c r="E211" s="134">
        <f t="shared" si="103"/>
        <v>37.5</v>
      </c>
      <c r="F211" s="136">
        <f>IF(E211="","",IF($H$14&gt;3.65,W67,IF($H$14&gt;=3,V67, IF($H$14&gt;=2.25,U67,IF($H$14&gt;=1.5,T67,T67)))))</f>
        <v>30008</v>
      </c>
      <c r="G211" s="106">
        <f t="shared" si="117"/>
        <v>15</v>
      </c>
      <c r="H211" s="112">
        <f t="shared" si="105"/>
        <v>0</v>
      </c>
      <c r="I211" s="113">
        <f t="shared" si="106"/>
        <v>450100</v>
      </c>
      <c r="J211" s="114">
        <f>+IF(X67="","",IF(H211&gt;0,ROUND((H211*(($U67)/(($X67)))/1000),1),ROUND((G211*(($U67)/(($X67)))/1000),1)))</f>
        <v>7.8</v>
      </c>
      <c r="K211" s="107">
        <f>+IF(X67="","",IF(H211&gt;0,ROUND((H211*(($U67)/(($X67)))/1000*$H$13*$H$11),-1),ROUND((G211*(($U67)/(($X67)))/1000*$H$13*$H$11),-1)))+Z211</f>
        <v>5414.8</v>
      </c>
      <c r="L211" s="115">
        <f t="shared" si="108"/>
        <v>3.59</v>
      </c>
      <c r="M211" s="140">
        <f t="shared" si="109"/>
        <v>9.7160871904000015</v>
      </c>
      <c r="N211" s="76"/>
      <c r="O211" s="76"/>
      <c r="P211" s="76"/>
      <c r="Q211" s="76"/>
      <c r="R211" s="108">
        <f t="shared" si="118"/>
        <v>76.964129483814517</v>
      </c>
      <c r="S211" s="117">
        <f t="shared" si="119"/>
        <v>1503.3340000000001</v>
      </c>
      <c r="T211" s="118">
        <f t="shared" si="120"/>
        <v>2840.1309999999999</v>
      </c>
      <c r="U211" s="109">
        <f t="shared" si="121"/>
        <v>262.5</v>
      </c>
      <c r="V211" s="119">
        <f t="shared" si="122"/>
        <v>27074</v>
      </c>
      <c r="W211" s="120">
        <f t="shared" si="110"/>
        <v>27336.5</v>
      </c>
      <c r="X211" s="121">
        <f t="shared" si="111"/>
        <v>54148</v>
      </c>
      <c r="Y211" s="122">
        <f t="shared" si="112"/>
        <v>54410.5</v>
      </c>
      <c r="Z211" s="123">
        <f t="shared" si="123"/>
        <v>514.79999999999995</v>
      </c>
      <c r="AA211" s="124">
        <f t="shared" si="124"/>
        <v>5148</v>
      </c>
      <c r="AB211" s="96"/>
      <c r="AC211" s="105">
        <f t="shared" si="113"/>
        <v>4</v>
      </c>
      <c r="AD211" s="105">
        <f t="shared" si="114"/>
        <v>0</v>
      </c>
      <c r="AE211" s="105">
        <f t="shared" si="96"/>
        <v>438479.99999999994</v>
      </c>
      <c r="AF211" s="105">
        <f t="shared" si="115"/>
        <v>438479.99999999994</v>
      </c>
      <c r="AG211" s="110">
        <f>IF($H$14&gt;3.556,V67,IF($H$14&gt;=3.048,U67, IF($H$14&gt;=2.286,T67,IF($H$14&gt;=1.524,T67,T67))))</f>
        <v>35188</v>
      </c>
    </row>
    <row r="212" spans="2:33" ht="15.75" hidden="1" x14ac:dyDescent="0.25">
      <c r="B212" s="138" t="str">
        <f>IF(R66="","",R66)</f>
        <v>MagFan — 456 RPM</v>
      </c>
      <c r="C212" s="139"/>
      <c r="D212" s="139"/>
      <c r="E212" s="134">
        <f t="shared" si="103"/>
        <v>37.5</v>
      </c>
      <c r="F212" s="136">
        <f>IF(E212="","",IF($H$14&gt;3.65,W66,IF($H$14&gt;=3,V66, IF($H$14&gt;=2.25,U66,IF($H$14&gt;=1.5,T66,T66)))))</f>
        <v>26917</v>
      </c>
      <c r="G212" s="106">
        <f t="shared" si="117"/>
        <v>17</v>
      </c>
      <c r="H212" s="112">
        <f t="shared" si="105"/>
        <v>0</v>
      </c>
      <c r="I212" s="113">
        <f t="shared" si="106"/>
        <v>457600</v>
      </c>
      <c r="J212" s="114">
        <f>+IF(X66="","",IF(H212&gt;0,ROUND((H212*(($U66)/(($X66)))/1000),1),ROUND((G212*(($U66)/(($X66)))/1000),1)))</f>
        <v>8</v>
      </c>
      <c r="K212" s="107">
        <f>+IF(X66="","",IF(H212&gt;0,ROUND((H212*(($U66)/(($X66)))/1000*$H$13*$H$11),-1),ROUND((G212*(($U66)/(($X66)))/1000*$H$13*$H$11),-1)))+Z212</f>
        <v>5548</v>
      </c>
      <c r="L212" s="115">
        <f t="shared" si="108"/>
        <v>3.65</v>
      </c>
      <c r="M212" s="140">
        <f t="shared" si="109"/>
        <v>9.7160871904000015</v>
      </c>
      <c r="N212" s="76"/>
      <c r="O212" s="76"/>
      <c r="P212" s="76"/>
      <c r="Q212" s="76"/>
      <c r="R212" s="108">
        <f t="shared" si="118"/>
        <v>81.046223388743073</v>
      </c>
      <c r="S212" s="117">
        <f t="shared" si="119"/>
        <v>1528.384</v>
      </c>
      <c r="T212" s="118">
        <f t="shared" si="120"/>
        <v>2887.4559999999997</v>
      </c>
      <c r="U212" s="109">
        <f t="shared" si="121"/>
        <v>227.8</v>
      </c>
      <c r="V212" s="119">
        <f t="shared" si="122"/>
        <v>27740</v>
      </c>
      <c r="W212" s="120">
        <f t="shared" si="110"/>
        <v>27967.8</v>
      </c>
      <c r="X212" s="121">
        <f t="shared" si="111"/>
        <v>55480</v>
      </c>
      <c r="Y212" s="122">
        <f t="shared" si="112"/>
        <v>55707.8</v>
      </c>
      <c r="Z212" s="123">
        <f t="shared" si="123"/>
        <v>528</v>
      </c>
      <c r="AA212" s="124">
        <f t="shared" si="124"/>
        <v>5280</v>
      </c>
      <c r="AB212" s="96"/>
      <c r="AC212" s="105">
        <f t="shared" si="113"/>
        <v>4</v>
      </c>
      <c r="AD212" s="105">
        <f t="shared" si="114"/>
        <v>0</v>
      </c>
      <c r="AE212" s="105">
        <f t="shared" si="96"/>
        <v>438479.99999999994</v>
      </c>
      <c r="AF212" s="105">
        <f t="shared" si="115"/>
        <v>438479.99999999994</v>
      </c>
      <c r="AG212" s="110">
        <f>IF($H$14&gt;3.556,V66,IF($H$14&gt;=3.048,U66, IF($H$14&gt;=2.286,T66,IF($H$14&gt;=1.524,T66,T66))))</f>
        <v>32695</v>
      </c>
    </row>
    <row r="213" spans="2:33" ht="15.75" hidden="1" x14ac:dyDescent="0.25">
      <c r="B213" s="138" t="str">
        <f>IF(R65="","",R65)</f>
        <v>MagFan — 426 RPM</v>
      </c>
      <c r="C213" s="139"/>
      <c r="D213" s="139"/>
      <c r="E213" s="134">
        <f t="shared" si="103"/>
        <v>37.5</v>
      </c>
      <c r="F213" s="136">
        <f>IF(E213="","",IF($H$14&gt;3.65,W65,IF($H$14&gt;=3,V65, IF($H$14&gt;=2.25,U65,IF($H$14&gt;=1.5,T65,T65)))))</f>
        <v>20897.845600000001</v>
      </c>
      <c r="G213" s="106">
        <f t="shared" si="117"/>
        <v>21</v>
      </c>
      <c r="H213" s="112">
        <f t="shared" si="105"/>
        <v>0</v>
      </c>
      <c r="I213" s="113">
        <f t="shared" si="106"/>
        <v>438900</v>
      </c>
      <c r="J213" s="114">
        <f>+IF(X65="","",IF(H213&gt;0,ROUND((H213*(($U65)/(($X65)))/1000),1),ROUND((G213*(($U65)/(($X65)))/1000),1)))</f>
        <v>8.3000000000000007</v>
      </c>
      <c r="K213" s="107">
        <f>+IF(X65="","",IF(H213&gt;0,ROUND((H213*(($U65)/(($X65)))/1000*$H$13*$H$11),-1),ROUND((G213*(($U65)/(($X65)))/1000*$H$13*$H$11),-1)))+Z213</f>
        <v>5767.8</v>
      </c>
      <c r="L213" s="115">
        <f t="shared" si="108"/>
        <v>3.5</v>
      </c>
      <c r="M213" s="140">
        <f t="shared" si="109"/>
        <v>9.7160871904000015</v>
      </c>
      <c r="N213" s="76"/>
      <c r="O213" s="76"/>
      <c r="P213" s="76"/>
      <c r="Q213" s="76"/>
      <c r="R213" s="108">
        <f t="shared" si="118"/>
        <v>87.695975503062115</v>
      </c>
      <c r="S213" s="117">
        <f t="shared" si="119"/>
        <v>1465.9259999999999</v>
      </c>
      <c r="T213" s="118">
        <f t="shared" si="120"/>
        <v>2769.4589999999998</v>
      </c>
      <c r="U213" s="109">
        <f t="shared" si="121"/>
        <v>363.3</v>
      </c>
      <c r="V213" s="119">
        <f t="shared" si="122"/>
        <v>28839</v>
      </c>
      <c r="W213" s="120">
        <f t="shared" si="110"/>
        <v>29202.3</v>
      </c>
      <c r="X213" s="121">
        <f t="shared" si="111"/>
        <v>57678</v>
      </c>
      <c r="Y213" s="122">
        <f t="shared" si="112"/>
        <v>58041.3</v>
      </c>
      <c r="Z213" s="123">
        <f t="shared" si="123"/>
        <v>547.80000000000007</v>
      </c>
      <c r="AA213" s="124">
        <f t="shared" si="124"/>
        <v>5478.0000000000009</v>
      </c>
      <c r="AB213" s="96"/>
      <c r="AC213" s="105">
        <f t="shared" si="113"/>
        <v>4</v>
      </c>
      <c r="AD213" s="105">
        <f t="shared" si="114"/>
        <v>0</v>
      </c>
      <c r="AE213" s="105">
        <f t="shared" si="96"/>
        <v>438479.99999999994</v>
      </c>
      <c r="AF213" s="105">
        <f t="shared" si="115"/>
        <v>438479.99999999994</v>
      </c>
      <c r="AG213" s="110">
        <f>IF($H$14&gt;3.556,V65,IF($H$14&gt;=3.048,U65, IF($H$14&gt;=2.286,T65,IF($H$14&gt;=1.524,T65,T65))))</f>
        <v>28639</v>
      </c>
    </row>
    <row r="214" spans="2:33" ht="15.75" hidden="1" x14ac:dyDescent="0.25">
      <c r="B214" s="138" t="str">
        <f>IF(R64="","",R64)</f>
        <v>MagFan — 402 RPM</v>
      </c>
      <c r="C214" s="139"/>
      <c r="D214" s="139"/>
      <c r="E214" s="134">
        <f t="shared" si="103"/>
        <v>37.5</v>
      </c>
      <c r="F214" s="136">
        <f>IF(E214="","",IF($H$14&gt;3.65,W64,IF($H$14&gt;=3,V64, IF($H$14&gt;=2.25,U64,IF($H$14&gt;=1.5,T64,T64)))))</f>
        <v>15702.2477</v>
      </c>
      <c r="G214" s="106">
        <f t="shared" si="117"/>
        <v>28</v>
      </c>
      <c r="H214" s="112">
        <f t="shared" si="105"/>
        <v>0</v>
      </c>
      <c r="I214" s="113">
        <f t="shared" si="106"/>
        <v>439700</v>
      </c>
      <c r="J214" s="114">
        <f>+IF(X64="","",IF(H214&gt;0,ROUND((H214*(($U64)/(($X64)))/1000),1),ROUND((G214*(($U64)/(($X64)))/1000),1)))</f>
        <v>9.5</v>
      </c>
      <c r="K214" s="107">
        <f>+IF(X64="","",IF(H214&gt;0,ROUND((H214*(($U64)/(($X64)))/1000*$H$13*$H$11),-1),ROUND((G214*(($U64)/(($X64)))/1000*$H$13*$H$11),-1)))+Z214</f>
        <v>6597</v>
      </c>
      <c r="L214" s="115">
        <f t="shared" si="108"/>
        <v>3.51</v>
      </c>
      <c r="M214" s="140">
        <f t="shared" si="109"/>
        <v>9.7160871904000015</v>
      </c>
      <c r="N214" s="76"/>
      <c r="O214" s="76"/>
      <c r="P214" s="76"/>
      <c r="Q214" s="76"/>
      <c r="R214" s="108">
        <f t="shared" si="118"/>
        <v>101.67862350539517</v>
      </c>
      <c r="S214" s="117">
        <f t="shared" si="119"/>
        <v>1468.598</v>
      </c>
      <c r="T214" s="118">
        <f t="shared" si="120"/>
        <v>2774.5070000000001</v>
      </c>
      <c r="U214" s="109">
        <f t="shared" si="121"/>
        <v>462</v>
      </c>
      <c r="V214" s="119">
        <f t="shared" si="122"/>
        <v>32985</v>
      </c>
      <c r="W214" s="120">
        <f t="shared" si="110"/>
        <v>33447</v>
      </c>
      <c r="X214" s="121">
        <f t="shared" si="111"/>
        <v>65970</v>
      </c>
      <c r="Y214" s="122">
        <f t="shared" si="112"/>
        <v>66432</v>
      </c>
      <c r="Z214" s="123">
        <f t="shared" si="123"/>
        <v>627</v>
      </c>
      <c r="AA214" s="124">
        <f t="shared" si="124"/>
        <v>6270</v>
      </c>
      <c r="AB214" s="96"/>
      <c r="AC214" s="105">
        <f t="shared" si="113"/>
        <v>4</v>
      </c>
      <c r="AD214" s="105">
        <f t="shared" si="114"/>
        <v>0</v>
      </c>
      <c r="AE214" s="105">
        <f t="shared" si="96"/>
        <v>438479.99999999994</v>
      </c>
      <c r="AF214" s="105">
        <f t="shared" si="115"/>
        <v>438479.99999999994</v>
      </c>
      <c r="AG214" s="110">
        <f>IF($H$14&gt;3.556,V64,IF($H$14&gt;=3.048,U64, IF($H$14&gt;=2.286,T64,IF($H$14&gt;=1.524,T64,T64))))</f>
        <v>24904</v>
      </c>
    </row>
    <row r="215" spans="2:33" ht="15.75" hidden="1" x14ac:dyDescent="0.25">
      <c r="B215" s="138" t="str">
        <f>IF(R63="","",R63)</f>
        <v>MagFan — 378 RPM</v>
      </c>
      <c r="C215" s="139"/>
      <c r="D215" s="139"/>
      <c r="E215" s="134">
        <f t="shared" si="103"/>
        <v>37.5</v>
      </c>
      <c r="F215" s="136">
        <f>IF(E215="","",IF($H$14&gt;3.65,W63,IF($H$14&gt;=3,V63, IF($H$14&gt;=2.25,U63,IF($H$14&gt;=1.5,T63,T63)))))</f>
        <v>15468.970099999999</v>
      </c>
      <c r="G215" s="106">
        <f t="shared" si="117"/>
        <v>29</v>
      </c>
      <c r="H215" s="112">
        <f t="shared" si="105"/>
        <v>0</v>
      </c>
      <c r="I215" s="113">
        <f t="shared" si="106"/>
        <v>448600</v>
      </c>
      <c r="J215" s="114">
        <f>+IF(X63="","",IF(H215&gt;0,ROUND((H215*(($U63)/(($X63)))/1000),1),ROUND((G215*(($U63)/(($X63)))/1000),1)))</f>
        <v>8.4</v>
      </c>
      <c r="K215" s="107">
        <f>+IF(X63="","",IF(H215&gt;0,ROUND((H215*(($U63)/(($X63)))/1000*$H$13*$H$11),-1),ROUND((G215*(($U63)/(($X63)))/1000*$H$13*$H$11),-1)))+Z215</f>
        <v>5824.4</v>
      </c>
      <c r="L215" s="115">
        <f t="shared" si="108"/>
        <v>3.58</v>
      </c>
      <c r="M215" s="140">
        <f t="shared" si="109"/>
        <v>9.7160871904000015</v>
      </c>
      <c r="N215" s="76"/>
      <c r="O215" s="76"/>
      <c r="P215" s="76"/>
      <c r="Q215" s="76"/>
      <c r="R215" s="108">
        <f t="shared" si="118"/>
        <v>90.031933508311468</v>
      </c>
      <c r="S215" s="117">
        <f t="shared" si="119"/>
        <v>1498.3240000000001</v>
      </c>
      <c r="T215" s="118">
        <f t="shared" si="120"/>
        <v>2830.6659999999997</v>
      </c>
      <c r="U215" s="109">
        <f t="shared" si="121"/>
        <v>469.79999999999995</v>
      </c>
      <c r="V215" s="119">
        <f t="shared" si="122"/>
        <v>29122</v>
      </c>
      <c r="W215" s="120">
        <f t="shared" si="110"/>
        <v>29591.8</v>
      </c>
      <c r="X215" s="121">
        <f t="shared" si="111"/>
        <v>58244</v>
      </c>
      <c r="Y215" s="122">
        <f t="shared" si="112"/>
        <v>58713.8</v>
      </c>
      <c r="Z215" s="123">
        <f t="shared" si="123"/>
        <v>554.40000000000009</v>
      </c>
      <c r="AA215" s="124">
        <f t="shared" si="124"/>
        <v>5544.0000000000009</v>
      </c>
      <c r="AB215" s="96"/>
      <c r="AC215" s="105">
        <f t="shared" si="113"/>
        <v>4</v>
      </c>
      <c r="AD215" s="105">
        <f t="shared" si="114"/>
        <v>0</v>
      </c>
      <c r="AE215" s="105">
        <f t="shared" si="96"/>
        <v>438479.99999999994</v>
      </c>
      <c r="AF215" s="105">
        <f t="shared" si="115"/>
        <v>438479.99999999994</v>
      </c>
      <c r="AG215" s="110">
        <f>IF($H$14&gt;3.556,V63,IF($H$14&gt;=3.048,U63, IF($H$14&gt;=2.286,T63,IF($H$14&gt;=1.524,T63,T63))))</f>
        <v>21291</v>
      </c>
    </row>
    <row r="216" spans="2:33" ht="15.75" hidden="1" x14ac:dyDescent="0.25">
      <c r="B216" s="138" t="str">
        <f t="shared" ref="B216:B230" si="125">IF(R78="","",R78)</f>
        <v/>
      </c>
      <c r="C216" s="139"/>
      <c r="D216" s="139"/>
      <c r="E216" s="134" t="str">
        <f t="shared" si="103"/>
        <v/>
      </c>
      <c r="F216" s="136" t="str">
        <f t="shared" ref="F216:F230" si="126">IF(E216="","",IF($H$14&gt;3.65,W78,IF($H$14&gt;=3,V78, IF($H$14&gt;=2.25,U78,IF($H$14&gt;=1.5,T78,T78)))))</f>
        <v/>
      </c>
      <c r="G216" s="106"/>
      <c r="H216" s="112" t="str">
        <f t="shared" si="105"/>
        <v/>
      </c>
      <c r="I216" s="113" t="str">
        <f t="shared" si="106"/>
        <v/>
      </c>
      <c r="J216" s="114" t="str">
        <f>+IF(X78="","",IF(H216&gt;0,ROUND((H216*(($U78)/(($X78)))/1000),1),ROUND((G216*(($U78)/(($X78)))/1000),1)))</f>
        <v/>
      </c>
      <c r="K216" s="107"/>
      <c r="L216" s="115" t="str">
        <f t="shared" si="108"/>
        <v/>
      </c>
      <c r="M216" s="140" t="str">
        <f t="shared" si="109"/>
        <v/>
      </c>
      <c r="N216" s="76"/>
      <c r="O216" s="76"/>
      <c r="P216" s="76"/>
      <c r="Q216" s="76"/>
      <c r="R216" s="108" t="str">
        <f t="shared" si="118"/>
        <v/>
      </c>
      <c r="S216" s="117" t="str">
        <f t="shared" si="119"/>
        <v/>
      </c>
      <c r="T216" s="118" t="str">
        <f t="shared" si="120"/>
        <v/>
      </c>
      <c r="U216" s="109" t="e">
        <f t="shared" si="121"/>
        <v>#VALUE!</v>
      </c>
      <c r="V216" s="119" t="str">
        <f t="shared" si="122"/>
        <v/>
      </c>
      <c r="W216" s="120" t="e">
        <f t="shared" si="110"/>
        <v>#VALUE!</v>
      </c>
      <c r="X216" s="121" t="str">
        <f t="shared" si="111"/>
        <v/>
      </c>
      <c r="Y216" s="122" t="e">
        <f t="shared" si="112"/>
        <v>#VALUE!</v>
      </c>
      <c r="Z216" s="123" t="e">
        <f t="shared" si="123"/>
        <v>#VALUE!</v>
      </c>
      <c r="AA216" s="124" t="e">
        <f t="shared" si="124"/>
        <v>#VALUE!</v>
      </c>
      <c r="AB216" s="96"/>
      <c r="AC216" s="105">
        <f t="shared" si="113"/>
        <v>4</v>
      </c>
      <c r="AD216" s="105">
        <f t="shared" si="114"/>
        <v>0</v>
      </c>
      <c r="AE216" s="105">
        <f t="shared" si="96"/>
        <v>438479.99999999994</v>
      </c>
      <c r="AF216" s="105">
        <f t="shared" si="115"/>
        <v>438479.99999999994</v>
      </c>
      <c r="AG216" s="110">
        <f t="shared" ref="AG216:AG230" si="127">IF($H$14&gt;3.556,V78,IF($H$14&gt;=3.048,U78, IF($H$14&gt;=2.286,T78,IF($H$14&gt;=1.524,T78,T78))))</f>
        <v>0</v>
      </c>
    </row>
    <row r="217" spans="2:33" ht="15.75" hidden="1" x14ac:dyDescent="0.25">
      <c r="B217" s="138" t="str">
        <f t="shared" si="125"/>
        <v>EBM-Pabst AgriCool 1.3 kW</v>
      </c>
      <c r="C217" s="139"/>
      <c r="D217" s="139"/>
      <c r="E217" s="134">
        <f t="shared" si="103"/>
        <v>37.5</v>
      </c>
      <c r="F217" s="136" t="str">
        <f t="shared" si="126"/>
        <v>37 Pa</v>
      </c>
      <c r="G217" s="106"/>
      <c r="H217" s="112">
        <f t="shared" si="105"/>
        <v>0</v>
      </c>
      <c r="I217" s="113" t="e">
        <f t="shared" si="106"/>
        <v>#VALUE!</v>
      </c>
      <c r="J217" s="114" t="e">
        <f>+IF(X79="","",IF(H217&gt;0,ROUND((H217*(($U79)/(($X79)))/1000),1),ROUND((G217*(($U79)/(($X79)))/1000),1)))</f>
        <v>#VALUE!</v>
      </c>
      <c r="K217" s="107"/>
      <c r="L217" s="115"/>
      <c r="M217" s="140" t="str">
        <f t="shared" si="109"/>
        <v/>
      </c>
      <c r="N217" s="76"/>
      <c r="O217" s="76"/>
      <c r="P217" s="76"/>
      <c r="Q217" s="76"/>
      <c r="R217" s="108" t="e">
        <f t="shared" si="118"/>
        <v>#VALUE!</v>
      </c>
      <c r="S217" s="117" t="e">
        <f t="shared" si="119"/>
        <v>#VALUE!</v>
      </c>
      <c r="T217" s="118" t="e">
        <f t="shared" si="120"/>
        <v>#VALUE!</v>
      </c>
      <c r="U217" s="109">
        <f t="shared" si="121"/>
        <v>0</v>
      </c>
      <c r="V217" s="119" t="str">
        <f t="shared" si="122"/>
        <v/>
      </c>
      <c r="W217" s="120" t="e">
        <f t="shared" si="110"/>
        <v>#VALUE!</v>
      </c>
      <c r="X217" s="121" t="str">
        <f t="shared" si="111"/>
        <v/>
      </c>
      <c r="Y217" s="122" t="e">
        <f t="shared" si="112"/>
        <v>#VALUE!</v>
      </c>
      <c r="Z217" s="123" t="e">
        <f t="shared" si="123"/>
        <v>#VALUE!</v>
      </c>
      <c r="AA217" s="124" t="e">
        <f t="shared" si="124"/>
        <v>#VALUE!</v>
      </c>
      <c r="AB217" s="96"/>
      <c r="AC217" s="105">
        <f t="shared" si="113"/>
        <v>4</v>
      </c>
      <c r="AD217" s="105">
        <f t="shared" si="114"/>
        <v>0</v>
      </c>
      <c r="AE217" s="105">
        <f t="shared" si="96"/>
        <v>438479.99999999994</v>
      </c>
      <c r="AF217" s="105">
        <f t="shared" si="115"/>
        <v>438479.99999999994</v>
      </c>
      <c r="AG217" s="110" t="str">
        <f t="shared" si="127"/>
        <v>25 Pa</v>
      </c>
    </row>
    <row r="218" spans="2:33" ht="15.75" hidden="1" x14ac:dyDescent="0.25">
      <c r="B218" s="138" t="str">
        <f t="shared" si="125"/>
        <v>EBM Pabst— 300 RPM</v>
      </c>
      <c r="C218" s="139"/>
      <c r="D218" s="139"/>
      <c r="E218" s="134">
        <f t="shared" si="103"/>
        <v>37.5</v>
      </c>
      <c r="F218" s="136">
        <f t="shared" si="126"/>
        <v>7258.130000000001</v>
      </c>
      <c r="G218" s="106">
        <f t="shared" si="117"/>
        <v>61</v>
      </c>
      <c r="H218" s="112">
        <f t="shared" si="105"/>
        <v>0</v>
      </c>
      <c r="I218" s="113">
        <f t="shared" si="106"/>
        <v>442700</v>
      </c>
      <c r="J218" s="114">
        <f>+IF(X80="","",IF(H218&gt;0,ROUND((H218*(($U80)/(($X80)))/1000),1),ROUND((G218*(($U80)/(($X80)))/1000),1)))</f>
        <v>11.5</v>
      </c>
      <c r="K218" s="107">
        <f>+IF(X80="","",IF(H218&gt;0,ROUND((H218*(($U80)/(($X80)))/1000*$H$13*$H$11),-1),ROUND((G218*(($U80)/(($X80)))/1000*$H$13*$H$11),-1)))+Z218</f>
        <v>7949</v>
      </c>
      <c r="L218" s="115">
        <f t="shared" si="108"/>
        <v>3.53</v>
      </c>
      <c r="M218" s="140">
        <f t="shared" si="109"/>
        <v>9.7160871904000015</v>
      </c>
      <c r="N218" s="76"/>
      <c r="O218" s="76"/>
      <c r="P218" s="76"/>
      <c r="Q218" s="76"/>
      <c r="R218" s="108">
        <f t="shared" si="118"/>
        <v>116.29848352289297</v>
      </c>
      <c r="S218" s="117">
        <f t="shared" si="119"/>
        <v>1478.6179999999999</v>
      </c>
      <c r="T218" s="118">
        <f t="shared" si="120"/>
        <v>2793.4369999999999</v>
      </c>
      <c r="U218" s="109">
        <f t="shared" si="121"/>
        <v>1085.8</v>
      </c>
      <c r="V218" s="119">
        <f t="shared" si="122"/>
        <v>39745</v>
      </c>
      <c r="W218" s="120">
        <f t="shared" si="110"/>
        <v>40830.800000000003</v>
      </c>
      <c r="X218" s="121">
        <f t="shared" si="111"/>
        <v>79490</v>
      </c>
      <c r="Y218" s="122">
        <f t="shared" si="112"/>
        <v>80575.8</v>
      </c>
      <c r="Z218" s="123">
        <f t="shared" si="123"/>
        <v>759</v>
      </c>
      <c r="AA218" s="124">
        <f t="shared" si="124"/>
        <v>7590</v>
      </c>
      <c r="AB218" s="96"/>
      <c r="AC218" s="105">
        <f t="shared" si="113"/>
        <v>4</v>
      </c>
      <c r="AD218" s="105">
        <f t="shared" si="114"/>
        <v>0</v>
      </c>
      <c r="AE218" s="105">
        <f t="shared" si="96"/>
        <v>438479.99999999994</v>
      </c>
      <c r="AF218" s="105">
        <f t="shared" si="115"/>
        <v>438479.99999999994</v>
      </c>
      <c r="AG218" s="110">
        <f t="shared" si="127"/>
        <v>13075</v>
      </c>
    </row>
    <row r="219" spans="2:33" ht="15.75" hidden="1" x14ac:dyDescent="0.25">
      <c r="B219" s="138" t="str">
        <f t="shared" si="125"/>
        <v>EBM Pabst— 400 RPM</v>
      </c>
      <c r="C219" s="139"/>
      <c r="D219" s="139"/>
      <c r="E219" s="134">
        <f t="shared" si="103"/>
        <v>37.5</v>
      </c>
      <c r="F219" s="136">
        <f t="shared" si="126"/>
        <v>20883.8014</v>
      </c>
      <c r="G219" s="106">
        <f t="shared" si="117"/>
        <v>21</v>
      </c>
      <c r="H219" s="112">
        <f t="shared" si="105"/>
        <v>0</v>
      </c>
      <c r="I219" s="113">
        <f t="shared" si="106"/>
        <v>438600</v>
      </c>
      <c r="J219" s="114">
        <f>+IF(X81="","",IF(H219&gt;0,ROUND((H219*(($U81)/(($X81)))/1000),1),ROUND((G219*(($U81)/(($X81)))/1000),1)))</f>
        <v>13.2</v>
      </c>
      <c r="K219" s="107">
        <f>+IF(X81="","",IF(H219&gt;0,ROUND((H219*(($U81)/(($X81)))/1000*$H$13*$H$11),-1),ROUND((G219*(($U81)/(($X81)))/1000*$H$13*$H$11),-1)))+Z219</f>
        <v>9161.2000000000007</v>
      </c>
      <c r="L219" s="115">
        <f t="shared" si="108"/>
        <v>3.5</v>
      </c>
      <c r="M219" s="140">
        <f t="shared" si="109"/>
        <v>9.7160871904000015</v>
      </c>
      <c r="N219" s="76"/>
      <c r="O219" s="76"/>
      <c r="P219" s="76"/>
      <c r="Q219" s="76"/>
      <c r="R219" s="108">
        <f t="shared" si="118"/>
        <v>83.724409448818903</v>
      </c>
      <c r="S219" s="117">
        <f t="shared" si="119"/>
        <v>1464.924</v>
      </c>
      <c r="T219" s="118">
        <f t="shared" si="120"/>
        <v>2767.5659999999998</v>
      </c>
      <c r="U219" s="109">
        <f t="shared" si="121"/>
        <v>487.2</v>
      </c>
      <c r="V219" s="119">
        <f t="shared" si="122"/>
        <v>45806</v>
      </c>
      <c r="W219" s="120">
        <f t="shared" si="110"/>
        <v>46293.2</v>
      </c>
      <c r="X219" s="121">
        <f t="shared" si="111"/>
        <v>91612</v>
      </c>
      <c r="Y219" s="122">
        <f t="shared" si="112"/>
        <v>92099.199999999997</v>
      </c>
      <c r="Z219" s="123">
        <f t="shared" si="123"/>
        <v>871.19999999999982</v>
      </c>
      <c r="AA219" s="124">
        <f t="shared" si="124"/>
        <v>8711.9999999999982</v>
      </c>
      <c r="AB219" s="96"/>
      <c r="AC219" s="105">
        <f t="shared" si="113"/>
        <v>4</v>
      </c>
      <c r="AD219" s="105">
        <f t="shared" si="114"/>
        <v>0</v>
      </c>
      <c r="AE219" s="105">
        <f t="shared" si="96"/>
        <v>438479.99999999994</v>
      </c>
      <c r="AF219" s="105">
        <f t="shared" si="115"/>
        <v>438479.99999999994</v>
      </c>
      <c r="AG219" s="110">
        <f t="shared" si="127"/>
        <v>27342</v>
      </c>
    </row>
    <row r="220" spans="2:33" ht="15.75" hidden="1" x14ac:dyDescent="0.25">
      <c r="B220" s="138" t="str">
        <f t="shared" si="125"/>
        <v>EBM Pabst— 500 RPM</v>
      </c>
      <c r="C220" s="139"/>
      <c r="D220" s="139"/>
      <c r="E220" s="134">
        <f t="shared" si="103"/>
        <v>37.5</v>
      </c>
      <c r="F220" s="136">
        <f t="shared" si="126"/>
        <v>32987.768900000003</v>
      </c>
      <c r="G220" s="106">
        <f t="shared" si="117"/>
        <v>14</v>
      </c>
      <c r="H220" s="112">
        <f t="shared" si="105"/>
        <v>0</v>
      </c>
      <c r="I220" s="113">
        <f t="shared" si="106"/>
        <v>461800</v>
      </c>
      <c r="J220" s="114">
        <f>+IF(X82="","",IF(H220&gt;0,ROUND((H220*(($U82)/(($X82)))/1000),1),ROUND((G220*(($U82)/(($X82)))/1000),1)))</f>
        <v>13.7</v>
      </c>
      <c r="K220" s="107">
        <f>+IF(X82="","",IF(H220&gt;0,ROUND((H220*(($U82)/(($X82)))/1000*$H$13*$H$11),-1),ROUND((G220*(($U82)/(($X82)))/1000*$H$13*$H$11),-1)))+Z220</f>
        <v>9494.2000000000007</v>
      </c>
      <c r="L220" s="115">
        <f t="shared" si="108"/>
        <v>3.69</v>
      </c>
      <c r="M220" s="140">
        <f t="shared" si="109"/>
        <v>9.7160871904000015</v>
      </c>
      <c r="N220" s="76"/>
      <c r="O220" s="76"/>
      <c r="P220" s="76"/>
      <c r="Q220" s="76"/>
      <c r="R220" s="108">
        <f t="shared" si="118"/>
        <v>71.60250801983085</v>
      </c>
      <c r="S220" s="117">
        <f t="shared" si="119"/>
        <v>1542.412</v>
      </c>
      <c r="T220" s="118">
        <f t="shared" si="120"/>
        <v>2913.9579999999996</v>
      </c>
      <c r="U220" s="109">
        <f t="shared" si="121"/>
        <v>221.20000000000002</v>
      </c>
      <c r="V220" s="119">
        <f t="shared" si="122"/>
        <v>47471</v>
      </c>
      <c r="W220" s="120">
        <f t="shared" si="110"/>
        <v>47692.2</v>
      </c>
      <c r="X220" s="121">
        <f t="shared" si="111"/>
        <v>94942</v>
      </c>
      <c r="Y220" s="122">
        <f t="shared" si="112"/>
        <v>95163.199999999997</v>
      </c>
      <c r="Z220" s="123">
        <f t="shared" si="123"/>
        <v>904.19999999999982</v>
      </c>
      <c r="AA220" s="124">
        <f t="shared" si="124"/>
        <v>9041.9999999999982</v>
      </c>
      <c r="AB220" s="96"/>
      <c r="AC220" s="105">
        <f t="shared" si="113"/>
        <v>4</v>
      </c>
      <c r="AD220" s="105">
        <f t="shared" si="114"/>
        <v>0</v>
      </c>
      <c r="AE220" s="105">
        <f t="shared" si="96"/>
        <v>438479.99999999994</v>
      </c>
      <c r="AF220" s="105">
        <f t="shared" si="115"/>
        <v>438479.99999999994</v>
      </c>
      <c r="AG220" s="110">
        <f t="shared" si="127"/>
        <v>35075</v>
      </c>
    </row>
    <row r="221" spans="2:33" ht="15.75" hidden="1" x14ac:dyDescent="0.25">
      <c r="B221" s="138" t="str">
        <f t="shared" si="125"/>
        <v>EBM Pabst— 600 RPM</v>
      </c>
      <c r="C221" s="139"/>
      <c r="D221" s="139"/>
      <c r="E221" s="134">
        <f t="shared" si="103"/>
        <v>37.5</v>
      </c>
      <c r="F221" s="136">
        <f t="shared" si="126"/>
        <v>41246</v>
      </c>
      <c r="G221" s="106" t="str">
        <f t="shared" si="117"/>
        <v/>
      </c>
      <c r="H221" s="112">
        <f t="shared" si="105"/>
        <v>0</v>
      </c>
      <c r="I221" s="113"/>
      <c r="J221" s="114"/>
      <c r="K221" s="107"/>
      <c r="L221" s="115" t="str">
        <f t="shared" si="108"/>
        <v/>
      </c>
      <c r="M221" s="140" t="str">
        <f t="shared" si="109"/>
        <v/>
      </c>
      <c r="N221" s="76"/>
      <c r="O221" s="76"/>
      <c r="P221" s="76"/>
      <c r="Q221" s="76"/>
      <c r="R221" s="108" t="e">
        <f t="shared" si="118"/>
        <v>#VALUE!</v>
      </c>
      <c r="S221" s="117">
        <f t="shared" si="119"/>
        <v>0</v>
      </c>
      <c r="T221" s="118">
        <f t="shared" si="120"/>
        <v>0</v>
      </c>
      <c r="U221" s="109" t="e">
        <f t="shared" si="121"/>
        <v>#VALUE!</v>
      </c>
      <c r="V221" s="119" t="str">
        <f t="shared" si="122"/>
        <v/>
      </c>
      <c r="W221" s="120" t="e">
        <f t="shared" si="110"/>
        <v>#VALUE!</v>
      </c>
      <c r="X221" s="121" t="str">
        <f t="shared" si="111"/>
        <v/>
      </c>
      <c r="Y221" s="122" t="e">
        <f t="shared" si="112"/>
        <v>#VALUE!</v>
      </c>
      <c r="Z221" s="123">
        <f t="shared" si="123"/>
        <v>0</v>
      </c>
      <c r="AA221" s="124">
        <f t="shared" si="124"/>
        <v>0</v>
      </c>
      <c r="AB221" s="96"/>
      <c r="AC221" s="105">
        <f t="shared" si="113"/>
        <v>4</v>
      </c>
      <c r="AD221" s="105">
        <f t="shared" si="114"/>
        <v>0</v>
      </c>
      <c r="AE221" s="105">
        <f t="shared" si="96"/>
        <v>438479.99999999994</v>
      </c>
      <c r="AF221" s="105">
        <f t="shared" si="115"/>
        <v>438479.99999999994</v>
      </c>
      <c r="AG221" s="110">
        <f t="shared" si="127"/>
        <v>44548</v>
      </c>
    </row>
    <row r="222" spans="2:33" ht="15.75" hidden="1" x14ac:dyDescent="0.25">
      <c r="B222" s="138" t="str">
        <f t="shared" si="125"/>
        <v/>
      </c>
      <c r="C222" s="139"/>
      <c r="D222" s="139"/>
      <c r="E222" s="134" t="str">
        <f t="shared" si="103"/>
        <v/>
      </c>
      <c r="F222" s="136" t="str">
        <f t="shared" si="126"/>
        <v/>
      </c>
      <c r="G222" s="106" t="str">
        <f t="shared" si="117"/>
        <v/>
      </c>
      <c r="H222" s="112" t="str">
        <f t="shared" si="105"/>
        <v/>
      </c>
      <c r="I222" s="113"/>
      <c r="J222" s="114"/>
      <c r="K222" s="107"/>
      <c r="L222" s="115" t="str">
        <f t="shared" si="108"/>
        <v/>
      </c>
      <c r="M222" s="140" t="str">
        <f t="shared" si="109"/>
        <v/>
      </c>
      <c r="N222" s="76"/>
      <c r="O222" s="76"/>
      <c r="P222" s="76"/>
      <c r="Q222" s="76"/>
      <c r="R222" s="108" t="str">
        <f t="shared" si="118"/>
        <v/>
      </c>
      <c r="S222" s="117" t="str">
        <f t="shared" si="119"/>
        <v/>
      </c>
      <c r="T222" s="118" t="str">
        <f t="shared" si="120"/>
        <v/>
      </c>
      <c r="U222" s="109" t="e">
        <f t="shared" si="121"/>
        <v>#VALUE!</v>
      </c>
      <c r="V222" s="119" t="str">
        <f t="shared" si="122"/>
        <v/>
      </c>
      <c r="W222" s="120" t="e">
        <f t="shared" si="110"/>
        <v>#VALUE!</v>
      </c>
      <c r="X222" s="121" t="str">
        <f t="shared" si="111"/>
        <v/>
      </c>
      <c r="Y222" s="122" t="e">
        <f t="shared" si="112"/>
        <v>#VALUE!</v>
      </c>
      <c r="Z222" s="123">
        <f t="shared" si="123"/>
        <v>0</v>
      </c>
      <c r="AA222" s="124">
        <f t="shared" si="124"/>
        <v>0</v>
      </c>
      <c r="AB222" s="96"/>
      <c r="AC222" s="105">
        <f t="shared" si="113"/>
        <v>4</v>
      </c>
      <c r="AD222" s="105">
        <f t="shared" si="114"/>
        <v>0</v>
      </c>
      <c r="AE222" s="105">
        <f t="shared" si="96"/>
        <v>438479.99999999994</v>
      </c>
      <c r="AF222" s="105">
        <f t="shared" si="115"/>
        <v>438479.99999999994</v>
      </c>
      <c r="AG222" s="110">
        <f t="shared" si="127"/>
        <v>0</v>
      </c>
    </row>
    <row r="223" spans="2:33" ht="15.75" hidden="1" x14ac:dyDescent="0.25">
      <c r="B223" s="138" t="str">
        <f t="shared" si="125"/>
        <v>MultiFan Cone Vplus 2 kW</v>
      </c>
      <c r="C223" s="139"/>
      <c r="D223" s="139"/>
      <c r="E223" s="134">
        <f t="shared" si="103"/>
        <v>37.5</v>
      </c>
      <c r="F223" s="136" t="str">
        <f t="shared" si="126"/>
        <v>37 Pa</v>
      </c>
      <c r="G223" s="106" t="str">
        <f t="shared" si="117"/>
        <v/>
      </c>
      <c r="H223" s="112">
        <f t="shared" si="105"/>
        <v>0</v>
      </c>
      <c r="I223" s="113"/>
      <c r="J223" s="114"/>
      <c r="K223" s="107"/>
      <c r="L223" s="115" t="str">
        <f t="shared" si="108"/>
        <v/>
      </c>
      <c r="M223" s="140" t="str">
        <f t="shared" si="109"/>
        <v/>
      </c>
      <c r="N223" s="76"/>
      <c r="O223" s="76"/>
      <c r="P223" s="76"/>
      <c r="Q223" s="76"/>
      <c r="R223" s="108" t="e">
        <f t="shared" si="118"/>
        <v>#VALUE!</v>
      </c>
      <c r="S223" s="117">
        <f t="shared" si="119"/>
        <v>0</v>
      </c>
      <c r="T223" s="118">
        <f t="shared" si="120"/>
        <v>0</v>
      </c>
      <c r="U223" s="109" t="e">
        <f t="shared" si="121"/>
        <v>#VALUE!</v>
      </c>
      <c r="V223" s="119" t="str">
        <f t="shared" si="122"/>
        <v/>
      </c>
      <c r="W223" s="120" t="e">
        <f t="shared" si="110"/>
        <v>#VALUE!</v>
      </c>
      <c r="X223" s="121" t="str">
        <f t="shared" si="111"/>
        <v/>
      </c>
      <c r="Y223" s="122" t="e">
        <f t="shared" si="112"/>
        <v>#VALUE!</v>
      </c>
      <c r="Z223" s="123">
        <f t="shared" si="123"/>
        <v>0</v>
      </c>
      <c r="AA223" s="124">
        <f t="shared" si="124"/>
        <v>0</v>
      </c>
      <c r="AB223" s="96"/>
      <c r="AC223" s="105" t="str">
        <f t="shared" si="113"/>
        <v/>
      </c>
      <c r="AD223" s="105" t="str">
        <f t="shared" si="114"/>
        <v/>
      </c>
      <c r="AE223" s="105">
        <f t="shared" si="96"/>
        <v>438479.99999999994</v>
      </c>
      <c r="AF223" s="105">
        <f t="shared" si="115"/>
        <v>438479.99999999994</v>
      </c>
      <c r="AG223" s="110" t="str">
        <f t="shared" si="127"/>
        <v>25 Pa</v>
      </c>
    </row>
    <row r="224" spans="2:33" ht="15.75" hidden="1" x14ac:dyDescent="0.25">
      <c r="B224" s="138" t="str">
        <f t="shared" si="125"/>
        <v>MultiFan— 300 RPM</v>
      </c>
      <c r="C224" s="139"/>
      <c r="D224" s="139"/>
      <c r="E224" s="134">
        <f t="shared" si="103"/>
        <v>37.5</v>
      </c>
      <c r="F224" s="136">
        <f t="shared" si="126"/>
        <v>7100</v>
      </c>
      <c r="G224" s="106">
        <f t="shared" si="117"/>
        <v>62</v>
      </c>
      <c r="H224" s="112">
        <f t="shared" si="105"/>
        <v>0</v>
      </c>
      <c r="I224" s="113">
        <f t="shared" si="106"/>
        <v>440200</v>
      </c>
      <c r="J224" s="114">
        <f t="shared" ref="J224:J230" si="128">+IF(X86="","",IF(H224&gt;0,ROUND((H224*(($U86)/(($X86)))/1000),1),ROUND((G224*(($U86)/(($X86)))/1000),1)))</f>
        <v>29.5</v>
      </c>
      <c r="K224" s="107">
        <f>+IF(X86="","",IF(H224&gt;0,ROUND((H224*(($U86)/(($X86)))/1000*$H$13*$H$11),-1),ROUND((G224*(($U86)/(($X86)))/1000*$H$13*$H$11),-1)))+Z224</f>
        <v>20437</v>
      </c>
      <c r="L224" s="115">
        <f t="shared" si="108"/>
        <v>3.51</v>
      </c>
      <c r="M224" s="140">
        <f t="shared" si="109"/>
        <v>9.7160871904000015</v>
      </c>
      <c r="N224" s="76"/>
      <c r="O224" s="76"/>
      <c r="P224" s="76"/>
      <c r="Q224" s="76"/>
      <c r="R224" s="108">
        <f t="shared" si="118"/>
        <v>89.501312335958005</v>
      </c>
      <c r="S224" s="117">
        <f t="shared" si="119"/>
        <v>1470.268</v>
      </c>
      <c r="T224" s="118">
        <f t="shared" si="120"/>
        <v>2777.6619999999998</v>
      </c>
      <c r="U224" s="109">
        <f t="shared" si="121"/>
        <v>967.19999999999993</v>
      </c>
      <c r="V224" s="119">
        <f t="shared" si="122"/>
        <v>102185</v>
      </c>
      <c r="W224" s="120">
        <f t="shared" si="110"/>
        <v>103152.2</v>
      </c>
      <c r="X224" s="121">
        <f t="shared" si="111"/>
        <v>204370</v>
      </c>
      <c r="Y224" s="122">
        <f t="shared" si="112"/>
        <v>205337.2</v>
      </c>
      <c r="Z224" s="123">
        <f t="shared" si="123"/>
        <v>1947</v>
      </c>
      <c r="AA224" s="124">
        <f t="shared" si="124"/>
        <v>19470</v>
      </c>
      <c r="AB224" s="96"/>
      <c r="AC224" s="105" t="str">
        <f t="shared" si="113"/>
        <v/>
      </c>
      <c r="AD224" s="105" t="str">
        <f t="shared" si="114"/>
        <v/>
      </c>
      <c r="AE224" s="105">
        <f t="shared" si="96"/>
        <v>438479.99999999994</v>
      </c>
      <c r="AF224" s="105">
        <f t="shared" si="115"/>
        <v>438479.99999999994</v>
      </c>
      <c r="AG224" s="110">
        <f t="shared" si="127"/>
        <v>9900</v>
      </c>
    </row>
    <row r="225" spans="2:33" ht="15.75" hidden="1" x14ac:dyDescent="0.25">
      <c r="B225" s="138" t="str">
        <f t="shared" si="125"/>
        <v>MultiFan— 360 RPM</v>
      </c>
      <c r="C225" s="139"/>
      <c r="D225" s="139"/>
      <c r="E225" s="134">
        <f t="shared" si="103"/>
        <v>37.5</v>
      </c>
      <c r="F225" s="136">
        <f t="shared" si="126"/>
        <v>9200</v>
      </c>
      <c r="G225" s="106" t="str">
        <f t="shared" si="117"/>
        <v/>
      </c>
      <c r="H225" s="112">
        <f t="shared" si="105"/>
        <v>0</v>
      </c>
      <c r="I225" s="113" t="e">
        <f t="shared" si="106"/>
        <v>#VALUE!</v>
      </c>
      <c r="J225" s="114" t="e">
        <f t="shared" si="128"/>
        <v>#VALUE!</v>
      </c>
      <c r="K225" s="107"/>
      <c r="L225" s="115" t="e">
        <f t="shared" si="108"/>
        <v>#VALUE!</v>
      </c>
      <c r="M225" s="140" t="e">
        <f t="shared" si="109"/>
        <v>#VALUE!</v>
      </c>
      <c r="N225" s="76"/>
      <c r="O225" s="76"/>
      <c r="P225" s="76"/>
      <c r="Q225" s="76"/>
      <c r="R225" s="108" t="e">
        <f t="shared" si="118"/>
        <v>#VALUE!</v>
      </c>
      <c r="S225" s="117" t="e">
        <f t="shared" si="119"/>
        <v>#VALUE!</v>
      </c>
      <c r="T225" s="118" t="e">
        <f t="shared" si="120"/>
        <v>#VALUE!</v>
      </c>
      <c r="U225" s="109" t="e">
        <f t="shared" si="121"/>
        <v>#VALUE!</v>
      </c>
      <c r="V225" s="119" t="str">
        <f t="shared" si="122"/>
        <v/>
      </c>
      <c r="W225" s="120" t="e">
        <f t="shared" si="110"/>
        <v>#VALUE!</v>
      </c>
      <c r="X225" s="121" t="str">
        <f t="shared" si="111"/>
        <v/>
      </c>
      <c r="Y225" s="122" t="e">
        <f t="shared" si="112"/>
        <v>#VALUE!</v>
      </c>
      <c r="Z225" s="123" t="e">
        <f t="shared" si="123"/>
        <v>#VALUE!</v>
      </c>
      <c r="AA225" s="124" t="e">
        <f t="shared" si="124"/>
        <v>#VALUE!</v>
      </c>
      <c r="AB225" s="96"/>
      <c r="AC225" s="105" t="str">
        <f t="shared" si="113"/>
        <v/>
      </c>
      <c r="AD225" s="105" t="str">
        <f t="shared" si="114"/>
        <v/>
      </c>
      <c r="AE225" s="105">
        <f t="shared" si="96"/>
        <v>438479.99999999994</v>
      </c>
      <c r="AF225" s="105">
        <f t="shared" si="115"/>
        <v>438479.99999999994</v>
      </c>
      <c r="AG225" s="110">
        <f t="shared" si="127"/>
        <v>22100</v>
      </c>
    </row>
    <row r="226" spans="2:33" ht="15.75" hidden="1" x14ac:dyDescent="0.25">
      <c r="B226" s="138" t="str">
        <f t="shared" si="125"/>
        <v>MultiFan— 420 RPM</v>
      </c>
      <c r="C226" s="139"/>
      <c r="D226" s="139"/>
      <c r="E226" s="134">
        <f t="shared" si="103"/>
        <v>37.5</v>
      </c>
      <c r="F226" s="136">
        <f t="shared" si="126"/>
        <v>25100</v>
      </c>
      <c r="G226" s="106">
        <f t="shared" si="117"/>
        <v>18</v>
      </c>
      <c r="H226" s="112">
        <f t="shared" si="105"/>
        <v>0</v>
      </c>
      <c r="I226" s="113">
        <f t="shared" si="106"/>
        <v>451800</v>
      </c>
      <c r="J226" s="114">
        <f t="shared" si="128"/>
        <v>13.6</v>
      </c>
      <c r="K226" s="107">
        <f>+IF(X88="","",IF(H226&gt;0,ROUND((H226*(($U88)/(($X88)))/1000*$H$13*$H$11),-1),ROUND((G226*(($U88)/(($X88)))/1000*$H$13*$H$11),-1)))+Z226</f>
        <v>9427.6</v>
      </c>
      <c r="L226" s="115">
        <f t="shared" si="108"/>
        <v>3.61</v>
      </c>
      <c r="M226" s="140">
        <f t="shared" si="109"/>
        <v>9.7160871904000015</v>
      </c>
      <c r="N226" s="76"/>
      <c r="O226" s="76"/>
      <c r="P226" s="76"/>
      <c r="Q226" s="76"/>
      <c r="R226" s="108">
        <f t="shared" si="118"/>
        <v>90.28871391076116</v>
      </c>
      <c r="S226" s="117">
        <f t="shared" si="119"/>
        <v>1509.0119999999999</v>
      </c>
      <c r="T226" s="118">
        <f t="shared" si="120"/>
        <v>2850.8579999999997</v>
      </c>
      <c r="U226" s="109">
        <f t="shared" si="121"/>
        <v>347.40000000000003</v>
      </c>
      <c r="V226" s="119">
        <f t="shared" si="122"/>
        <v>47138</v>
      </c>
      <c r="W226" s="120">
        <f t="shared" si="110"/>
        <v>47485.4</v>
      </c>
      <c r="X226" s="121">
        <f t="shared" si="111"/>
        <v>94276</v>
      </c>
      <c r="Y226" s="122">
        <f t="shared" si="112"/>
        <v>94623.4</v>
      </c>
      <c r="Z226" s="123">
        <f t="shared" si="123"/>
        <v>897.59999999999991</v>
      </c>
      <c r="AA226" s="124">
        <f t="shared" si="124"/>
        <v>8976</v>
      </c>
      <c r="AB226" s="96"/>
      <c r="AC226" s="105">
        <f t="shared" si="113"/>
        <v>4</v>
      </c>
      <c r="AD226" s="105">
        <f t="shared" si="114"/>
        <v>0</v>
      </c>
      <c r="AE226" s="105">
        <f t="shared" si="96"/>
        <v>438479.99999999994</v>
      </c>
      <c r="AF226" s="105">
        <f t="shared" si="115"/>
        <v>438479.99999999994</v>
      </c>
      <c r="AG226" s="110">
        <f t="shared" si="127"/>
        <v>34400</v>
      </c>
    </row>
    <row r="227" spans="2:33" ht="15.75" hidden="1" x14ac:dyDescent="0.25">
      <c r="B227" s="138" t="str">
        <f t="shared" si="125"/>
        <v>MultiFan— 479 RPM</v>
      </c>
      <c r="C227" s="139"/>
      <c r="D227" s="139"/>
      <c r="E227" s="134">
        <f t="shared" si="103"/>
        <v>37.5</v>
      </c>
      <c r="F227" s="136">
        <f t="shared" si="126"/>
        <v>39200</v>
      </c>
      <c r="G227" s="106">
        <f t="shared" si="117"/>
        <v>12</v>
      </c>
      <c r="H227" s="112">
        <f t="shared" si="105"/>
        <v>0</v>
      </c>
      <c r="I227" s="113">
        <f t="shared" si="106"/>
        <v>470400</v>
      </c>
      <c r="J227" s="114">
        <f t="shared" si="128"/>
        <v>12.6</v>
      </c>
      <c r="K227" s="107">
        <f>+IF(X89="","",IF(H227&gt;0,ROUND((H227*(($U89)/(($X89)))/1000*$H$13*$H$11),-1),ROUND((G227*(($U89)/(($X89)))/1000*$H$13*$H$11),-1)))+Z227</f>
        <v>8741.6</v>
      </c>
      <c r="L227" s="115">
        <f t="shared" si="108"/>
        <v>3.75</v>
      </c>
      <c r="M227" s="140">
        <f t="shared" si="109"/>
        <v>9.7160871904000015</v>
      </c>
      <c r="N227" s="76"/>
      <c r="O227" s="76"/>
      <c r="P227" s="76"/>
      <c r="Q227" s="76"/>
      <c r="R227" s="108">
        <f t="shared" si="118"/>
        <v>75.065616797900262</v>
      </c>
      <c r="S227" s="117">
        <f t="shared" si="119"/>
        <v>1571.136</v>
      </c>
      <c r="T227" s="118">
        <f t="shared" si="120"/>
        <v>2968.2239999999997</v>
      </c>
      <c r="U227" s="109">
        <f t="shared" ref="U227:U230" si="129">IF(J123="","",IF(H227&gt;0,J123*H227,J123*G227))</f>
        <v>196.79999999999998</v>
      </c>
      <c r="V227" s="119">
        <f t="shared" si="122"/>
        <v>43708</v>
      </c>
      <c r="W227" s="120">
        <f t="shared" si="110"/>
        <v>43904.800000000003</v>
      </c>
      <c r="X227" s="121">
        <f t="shared" si="111"/>
        <v>87416</v>
      </c>
      <c r="Y227" s="122">
        <f t="shared" si="112"/>
        <v>87612.800000000003</v>
      </c>
      <c r="Z227" s="123">
        <f t="shared" si="123"/>
        <v>831.59999999999991</v>
      </c>
      <c r="AA227" s="124">
        <f t="shared" ref="AA227:AA230" si="130">Z227*10</f>
        <v>8316</v>
      </c>
      <c r="AB227" s="96"/>
      <c r="AC227" s="105">
        <f t="shared" si="113"/>
        <v>4</v>
      </c>
      <c r="AD227" s="105">
        <f t="shared" si="114"/>
        <v>0</v>
      </c>
      <c r="AE227" s="105">
        <f>+($C$13+$C$14)/2*$C$12*$H$14*3600</f>
        <v>438479.99999999994</v>
      </c>
      <c r="AF227" s="105">
        <f t="shared" si="115"/>
        <v>438479.99999999994</v>
      </c>
      <c r="AG227" s="110">
        <f t="shared" si="127"/>
        <v>42900</v>
      </c>
    </row>
    <row r="228" spans="2:33" ht="15.75" hidden="1" x14ac:dyDescent="0.25">
      <c r="B228" s="138" t="str">
        <f t="shared" si="125"/>
        <v>MultiFan— 540 RPM</v>
      </c>
      <c r="C228" s="139"/>
      <c r="D228" s="139"/>
      <c r="E228" s="134">
        <f t="shared" si="103"/>
        <v>37.5</v>
      </c>
      <c r="F228" s="136">
        <f t="shared" si="126"/>
        <v>47500</v>
      </c>
      <c r="G228" s="106">
        <f t="shared" si="117"/>
        <v>10</v>
      </c>
      <c r="H228" s="112">
        <f t="shared" si="105"/>
        <v>0</v>
      </c>
      <c r="I228" s="113">
        <f t="shared" si="106"/>
        <v>475000</v>
      </c>
      <c r="J228" s="114">
        <f t="shared" si="128"/>
        <v>14</v>
      </c>
      <c r="K228" s="107">
        <f>+IF(X90="","",IF(H228&gt;0,ROUND((H228*(($U90)/(($X90)))/1000*$H$13*$H$11),-1),ROUND((G228*(($U90)/(($X90)))/1000*$H$13*$H$11),-1)))+Z228</f>
        <v>9684</v>
      </c>
      <c r="L228" s="115">
        <f t="shared" si="108"/>
        <v>3.79</v>
      </c>
      <c r="M228" s="140">
        <f t="shared" si="109"/>
        <v>9.7160871904000015</v>
      </c>
      <c r="N228" s="76"/>
      <c r="O228" s="76"/>
      <c r="P228" s="76"/>
      <c r="Q228" s="76"/>
      <c r="R228" s="108">
        <f t="shared" si="118"/>
        <v>73.782443861184021</v>
      </c>
      <c r="S228" s="117">
        <f t="shared" si="119"/>
        <v>1586.5</v>
      </c>
      <c r="T228" s="118">
        <f t="shared" si="120"/>
        <v>2997.25</v>
      </c>
      <c r="U228" s="109">
        <f t="shared" si="129"/>
        <v>176</v>
      </c>
      <c r="V228" s="119">
        <f t="shared" si="122"/>
        <v>48420</v>
      </c>
      <c r="W228" s="120">
        <f t="shared" si="110"/>
        <v>48596</v>
      </c>
      <c r="X228" s="121">
        <f t="shared" si="111"/>
        <v>96840</v>
      </c>
      <c r="Y228" s="122">
        <f t="shared" si="112"/>
        <v>97016</v>
      </c>
      <c r="Z228" s="123">
        <f t="shared" si="123"/>
        <v>924</v>
      </c>
      <c r="AA228" s="124">
        <f t="shared" si="130"/>
        <v>9240</v>
      </c>
      <c r="AB228" s="96"/>
      <c r="AC228" s="105">
        <f t="shared" si="113"/>
        <v>4</v>
      </c>
      <c r="AD228" s="105">
        <f t="shared" si="114"/>
        <v>0</v>
      </c>
      <c r="AE228" s="105">
        <f>+($C$13+$C$14)/2*$C$12*$H$14*3600</f>
        <v>438479.99999999994</v>
      </c>
      <c r="AF228" s="105">
        <f t="shared" si="115"/>
        <v>438479.99999999994</v>
      </c>
      <c r="AG228" s="110">
        <f t="shared" si="127"/>
        <v>50600</v>
      </c>
    </row>
    <row r="229" spans="2:33" ht="15.75" hidden="1" x14ac:dyDescent="0.25">
      <c r="B229" s="138" t="str">
        <f t="shared" si="125"/>
        <v>MultiFan— 600 RPM</v>
      </c>
      <c r="C229" s="139"/>
      <c r="D229" s="139"/>
      <c r="E229" s="134">
        <f t="shared" si="103"/>
        <v>37.5</v>
      </c>
      <c r="F229" s="136">
        <f t="shared" si="126"/>
        <v>54400</v>
      </c>
      <c r="G229" s="106">
        <f t="shared" si="117"/>
        <v>9</v>
      </c>
      <c r="H229" s="112">
        <f t="shared" si="105"/>
        <v>0</v>
      </c>
      <c r="I229" s="113">
        <f t="shared" si="106"/>
        <v>489600</v>
      </c>
      <c r="J229" s="114">
        <f t="shared" si="128"/>
        <v>16.2</v>
      </c>
      <c r="K229" s="107">
        <f>+IF(X91="","",IF(H229&gt;0,ROUND((H229*(($U91)/(($X91)))/1000*$H$13*$H$11),-1),ROUND((G229*(($U91)/(($X91)))/1000*$H$13*$H$11),-1)))+Z229</f>
        <v>11249.2</v>
      </c>
      <c r="L229" s="115">
        <f t="shared" si="108"/>
        <v>3.91</v>
      </c>
      <c r="M229" s="140">
        <f t="shared" si="109"/>
        <v>9.7160871904000015</v>
      </c>
      <c r="N229" s="76"/>
      <c r="O229" s="76"/>
      <c r="P229" s="76"/>
      <c r="Q229" s="76"/>
      <c r="R229" s="108">
        <f t="shared" si="118"/>
        <v>75.328083989501309</v>
      </c>
      <c r="S229" s="117">
        <f t="shared" si="119"/>
        <v>1635.2640000000001</v>
      </c>
      <c r="T229" s="118">
        <f t="shared" si="120"/>
        <v>3089.3759999999997</v>
      </c>
      <c r="U229" s="109">
        <f t="shared" si="129"/>
        <v>95.399999999999991</v>
      </c>
      <c r="V229" s="119">
        <f t="shared" si="122"/>
        <v>56246</v>
      </c>
      <c r="W229" s="120">
        <f t="shared" si="110"/>
        <v>56341.4</v>
      </c>
      <c r="X229" s="121">
        <f t="shared" si="111"/>
        <v>112492</v>
      </c>
      <c r="Y229" s="122">
        <f t="shared" si="112"/>
        <v>112587.4</v>
      </c>
      <c r="Z229" s="123">
        <f t="shared" si="123"/>
        <v>1069.1999999999998</v>
      </c>
      <c r="AA229" s="124">
        <f t="shared" si="130"/>
        <v>10691.999999999998</v>
      </c>
      <c r="AB229" s="96"/>
      <c r="AC229" s="105">
        <f t="shared" si="113"/>
        <v>4</v>
      </c>
      <c r="AD229" s="105">
        <f t="shared" si="114"/>
        <v>0</v>
      </c>
      <c r="AE229" s="105">
        <f>+($C$13+$C$14)/2*$C$12*$H$14*3600</f>
        <v>438479.99999999994</v>
      </c>
      <c r="AF229" s="105">
        <f t="shared" si="115"/>
        <v>438479.99999999994</v>
      </c>
      <c r="AG229" s="110">
        <f t="shared" si="127"/>
        <v>57400</v>
      </c>
    </row>
    <row r="230" spans="2:33" ht="15.75" hidden="1" x14ac:dyDescent="0.25">
      <c r="B230" s="138" t="str">
        <f t="shared" si="125"/>
        <v>MultiFan— 615 RPM</v>
      </c>
      <c r="C230" s="139"/>
      <c r="D230" s="139"/>
      <c r="E230" s="134">
        <f t="shared" si="103"/>
        <v>37.5</v>
      </c>
      <c r="F230" s="136">
        <f t="shared" si="126"/>
        <v>56300</v>
      </c>
      <c r="G230" s="106">
        <f t="shared" si="117"/>
        <v>8</v>
      </c>
      <c r="H230" s="112">
        <f t="shared" si="105"/>
        <v>0</v>
      </c>
      <c r="I230" s="113">
        <f t="shared" si="106"/>
        <v>450400</v>
      </c>
      <c r="J230" s="114">
        <f t="shared" si="128"/>
        <v>15.3</v>
      </c>
      <c r="K230" s="107">
        <f>+IF(X92="","",IF(H230&gt;0,ROUND((H230*(($U92)/(($X92)))/1000*$H$13*$H$11),-1),ROUND((G230*(($U92)/(($X92)))/1000*$H$13*$H$11),-1)))+Z230</f>
        <v>10599.8</v>
      </c>
      <c r="L230" s="115">
        <f t="shared" si="108"/>
        <v>3.6</v>
      </c>
      <c r="M230" s="140">
        <f t="shared" si="109"/>
        <v>9.7160871904000015</v>
      </c>
      <c r="N230" s="76"/>
      <c r="O230" s="76"/>
      <c r="P230" s="76"/>
      <c r="Q230" s="76"/>
      <c r="R230" s="108">
        <f t="shared" si="118"/>
        <v>68.941382327209098</v>
      </c>
      <c r="S230" s="117">
        <f t="shared" si="119"/>
        <v>1504.336</v>
      </c>
      <c r="T230" s="118">
        <f t="shared" si="120"/>
        <v>2842.0239999999999</v>
      </c>
      <c r="U230" s="109">
        <f t="shared" si="129"/>
        <v>86.4</v>
      </c>
      <c r="V230" s="119">
        <f t="shared" si="122"/>
        <v>52999</v>
      </c>
      <c r="W230" s="120">
        <f t="shared" si="110"/>
        <v>53085.4</v>
      </c>
      <c r="X230" s="121">
        <f t="shared" si="111"/>
        <v>105998</v>
      </c>
      <c r="Y230" s="122">
        <f t="shared" si="112"/>
        <v>106084.4</v>
      </c>
      <c r="Z230" s="123">
        <f t="shared" si="123"/>
        <v>1009.8000000000002</v>
      </c>
      <c r="AA230" s="124">
        <f t="shared" si="130"/>
        <v>10098.000000000002</v>
      </c>
      <c r="AB230" s="96"/>
      <c r="AC230" s="105">
        <f t="shared" si="113"/>
        <v>4</v>
      </c>
      <c r="AD230" s="105">
        <f t="shared" si="114"/>
        <v>0</v>
      </c>
      <c r="AE230" s="105">
        <f>+($C$13+$C$14)/2*$C$12*$H$14*3600</f>
        <v>438479.99999999994</v>
      </c>
      <c r="AF230" s="105">
        <f t="shared" si="115"/>
        <v>438479.99999999994</v>
      </c>
      <c r="AG230" s="110">
        <f t="shared" si="127"/>
        <v>59100</v>
      </c>
    </row>
    <row r="231" spans="2:33" ht="15.75" hidden="1" x14ac:dyDescent="0.25">
      <c r="B231" s="138"/>
      <c r="C231" s="139"/>
      <c r="D231" s="139"/>
      <c r="E231" s="134"/>
      <c r="F231" s="136"/>
      <c r="G231" s="106"/>
      <c r="H231" s="112"/>
      <c r="I231" s="113"/>
      <c r="J231" s="114"/>
      <c r="K231" s="107"/>
      <c r="L231" s="115"/>
      <c r="M231" s="140"/>
      <c r="N231" s="76"/>
      <c r="O231" s="76"/>
      <c r="P231" s="76"/>
      <c r="Q231" s="76"/>
      <c r="R231" s="108"/>
      <c r="S231" s="117"/>
      <c r="T231" s="118"/>
      <c r="U231" s="109"/>
      <c r="V231" s="119"/>
      <c r="W231" s="120"/>
      <c r="X231" s="121"/>
      <c r="Y231" s="122"/>
      <c r="Z231" s="123"/>
      <c r="AA231" s="124"/>
      <c r="AB231" s="96"/>
      <c r="AC231" s="105"/>
      <c r="AD231" s="105"/>
      <c r="AE231" s="105"/>
      <c r="AF231" s="105"/>
      <c r="AG231" s="110"/>
    </row>
    <row r="232" spans="2:33" ht="15.75" hidden="1" x14ac:dyDescent="0.25">
      <c r="B232" s="138"/>
      <c r="C232" s="139"/>
      <c r="D232" s="139"/>
      <c r="E232" s="134"/>
      <c r="F232" s="136"/>
      <c r="G232" s="106"/>
      <c r="H232" s="112"/>
      <c r="I232" s="113"/>
      <c r="J232" s="114"/>
      <c r="K232" s="107"/>
      <c r="L232" s="115"/>
      <c r="M232" s="140"/>
      <c r="N232" s="76"/>
      <c r="O232" s="76"/>
      <c r="P232" s="76"/>
      <c r="Q232" s="76"/>
      <c r="R232" s="108"/>
      <c r="S232" s="117"/>
      <c r="T232" s="118"/>
      <c r="U232" s="109"/>
      <c r="V232" s="119"/>
      <c r="W232" s="120"/>
      <c r="X232" s="121"/>
      <c r="Y232" s="122"/>
      <c r="Z232" s="123"/>
      <c r="AA232" s="124"/>
      <c r="AB232" s="96"/>
      <c r="AC232" s="105"/>
      <c r="AD232" s="105"/>
      <c r="AE232" s="105"/>
      <c r="AF232" s="105"/>
      <c r="AG232" s="110"/>
    </row>
    <row r="233" spans="2:33" ht="15.75" hidden="1" x14ac:dyDescent="0.25">
      <c r="B233" s="138"/>
      <c r="C233" s="139"/>
      <c r="D233" s="139"/>
      <c r="E233" s="134"/>
      <c r="F233" s="136"/>
      <c r="G233" s="106"/>
      <c r="H233" s="112"/>
      <c r="I233" s="113"/>
      <c r="J233" s="114"/>
      <c r="K233" s="107"/>
      <c r="L233" s="115"/>
      <c r="M233" s="140"/>
      <c r="N233" s="76"/>
      <c r="O233" s="76"/>
      <c r="P233" s="76"/>
      <c r="Q233" s="76"/>
      <c r="R233" s="108"/>
      <c r="S233" s="117"/>
      <c r="T233" s="118"/>
      <c r="U233" s="109"/>
      <c r="V233" s="119"/>
      <c r="W233" s="120"/>
      <c r="X233" s="121"/>
      <c r="Y233" s="122"/>
      <c r="Z233" s="123"/>
      <c r="AA233" s="124"/>
      <c r="AB233" s="96"/>
      <c r="AC233" s="105"/>
      <c r="AD233" s="105"/>
      <c r="AE233" s="105"/>
      <c r="AF233" s="105"/>
      <c r="AG233" s="110"/>
    </row>
    <row r="234" spans="2:33" ht="15.75" hidden="1" x14ac:dyDescent="0.25">
      <c r="B234" s="138"/>
      <c r="C234" s="139"/>
      <c r="D234" s="139"/>
      <c r="E234" s="134"/>
      <c r="F234" s="136"/>
      <c r="G234" s="106"/>
      <c r="H234" s="112"/>
      <c r="I234" s="113"/>
      <c r="J234" s="114"/>
      <c r="K234" s="107"/>
      <c r="L234" s="115"/>
      <c r="M234" s="140"/>
      <c r="N234" s="76"/>
      <c r="O234" s="76"/>
      <c r="P234" s="76"/>
      <c r="Q234" s="76"/>
      <c r="R234" s="108"/>
      <c r="S234" s="117"/>
      <c r="T234" s="118"/>
      <c r="U234" s="109"/>
      <c r="V234" s="119"/>
      <c r="W234" s="120"/>
      <c r="X234" s="121"/>
      <c r="Y234" s="122"/>
      <c r="Z234" s="123"/>
      <c r="AA234" s="124"/>
      <c r="AB234" s="96"/>
      <c r="AC234" s="105"/>
      <c r="AD234" s="105"/>
      <c r="AE234" s="105"/>
      <c r="AF234" s="105"/>
      <c r="AG234" s="110"/>
    </row>
    <row r="235" spans="2:33" ht="15.75" hidden="1" x14ac:dyDescent="0.25">
      <c r="B235" s="138"/>
      <c r="C235" s="139"/>
      <c r="D235" s="139"/>
      <c r="E235" s="134"/>
      <c r="F235" s="136"/>
      <c r="G235" s="106"/>
      <c r="H235" s="112"/>
      <c r="I235" s="113"/>
      <c r="J235" s="114"/>
      <c r="K235" s="107"/>
      <c r="L235" s="115"/>
      <c r="M235" s="140"/>
      <c r="N235" s="76"/>
      <c r="O235" s="76"/>
      <c r="P235" s="76"/>
      <c r="Q235" s="76"/>
      <c r="R235" s="108"/>
      <c r="S235" s="117"/>
      <c r="T235" s="118"/>
      <c r="U235" s="109"/>
      <c r="V235" s="119"/>
      <c r="W235" s="120"/>
      <c r="X235" s="121"/>
      <c r="Y235" s="122"/>
      <c r="Z235" s="123"/>
      <c r="AA235" s="124"/>
      <c r="AB235" s="96"/>
      <c r="AC235" s="105"/>
      <c r="AD235" s="105"/>
      <c r="AE235" s="105"/>
      <c r="AF235" s="105"/>
      <c r="AG235" s="110"/>
    </row>
    <row r="236" spans="2:33" ht="15.75" hidden="1" x14ac:dyDescent="0.25">
      <c r="B236" s="138"/>
      <c r="C236" s="139"/>
      <c r="D236" s="139"/>
      <c r="E236" s="134"/>
      <c r="F236" s="136"/>
      <c r="G236" s="106"/>
      <c r="H236" s="112"/>
      <c r="I236" s="113"/>
      <c r="J236" s="114"/>
      <c r="K236" s="107"/>
      <c r="L236" s="115"/>
      <c r="M236" s="140"/>
      <c r="N236" s="76"/>
      <c r="O236" s="76"/>
      <c r="P236" s="76"/>
      <c r="Q236" s="76"/>
      <c r="R236" s="108"/>
      <c r="S236" s="117"/>
      <c r="T236" s="118"/>
      <c r="U236" s="109"/>
      <c r="V236" s="119"/>
      <c r="W236" s="120"/>
      <c r="X236" s="121"/>
      <c r="Y236" s="122"/>
      <c r="Z236" s="123"/>
      <c r="AA236" s="124"/>
      <c r="AB236" s="96"/>
      <c r="AC236" s="105"/>
      <c r="AD236" s="105"/>
      <c r="AE236" s="105"/>
      <c r="AF236" s="105"/>
      <c r="AG236" s="110"/>
    </row>
    <row r="237" spans="2:33" ht="15.75" hidden="1" x14ac:dyDescent="0.25">
      <c r="B237" s="138"/>
      <c r="C237" s="139"/>
      <c r="D237" s="139"/>
      <c r="E237" s="134"/>
      <c r="F237" s="136"/>
      <c r="G237" s="106"/>
      <c r="H237" s="112"/>
      <c r="I237" s="113"/>
      <c r="J237" s="114"/>
      <c r="K237" s="107"/>
      <c r="L237" s="115"/>
      <c r="M237" s="140"/>
      <c r="N237" s="76"/>
      <c r="O237" s="76"/>
      <c r="P237" s="76"/>
      <c r="Q237" s="76"/>
      <c r="R237" s="108"/>
      <c r="S237" s="117"/>
      <c r="T237" s="118"/>
      <c r="U237" s="109"/>
      <c r="V237" s="119"/>
      <c r="W237" s="120"/>
      <c r="X237" s="121"/>
      <c r="Y237" s="122"/>
      <c r="Z237" s="123"/>
      <c r="AA237" s="124"/>
      <c r="AB237" s="96"/>
      <c r="AC237" s="105"/>
      <c r="AD237" s="105"/>
      <c r="AE237" s="105"/>
      <c r="AF237" s="105"/>
      <c r="AG237" s="110"/>
    </row>
    <row r="238" spans="2:33" ht="15.75" hidden="1" x14ac:dyDescent="0.25">
      <c r="B238" s="138"/>
      <c r="C238" s="139"/>
      <c r="D238" s="139"/>
      <c r="E238" s="134"/>
      <c r="F238" s="136"/>
      <c r="G238" s="106"/>
      <c r="H238" s="112"/>
      <c r="I238" s="113"/>
      <c r="J238" s="114"/>
      <c r="K238" s="107"/>
      <c r="L238" s="115"/>
      <c r="M238" s="140"/>
      <c r="N238" s="76"/>
      <c r="O238" s="76"/>
      <c r="P238" s="76"/>
      <c r="Q238" s="76"/>
      <c r="R238" s="108"/>
      <c r="S238" s="117"/>
      <c r="T238" s="118"/>
      <c r="U238" s="109"/>
      <c r="V238" s="119"/>
      <c r="W238" s="120"/>
      <c r="X238" s="121"/>
      <c r="Y238" s="122"/>
      <c r="Z238" s="123"/>
      <c r="AA238" s="124"/>
      <c r="AB238" s="96"/>
      <c r="AC238" s="105"/>
      <c r="AD238" s="105"/>
      <c r="AE238" s="105"/>
      <c r="AF238" s="105"/>
      <c r="AG238" s="110"/>
    </row>
    <row r="239" spans="2:33" hidden="1" x14ac:dyDescent="0.2"/>
    <row r="240" spans="2:33" ht="15.75" hidden="1" thickBot="1" x14ac:dyDescent="0.25"/>
    <row r="241" spans="2:8" ht="15.75" hidden="1" x14ac:dyDescent="0.25">
      <c r="B241" s="615" t="s">
        <v>209</v>
      </c>
      <c r="C241" s="616"/>
      <c r="D241" s="616"/>
      <c r="E241" s="616"/>
      <c r="F241" s="616"/>
      <c r="G241" s="617"/>
      <c r="H241" s="468" t="s">
        <v>208</v>
      </c>
    </row>
    <row r="242" spans="2:8" ht="15.75" hidden="1" x14ac:dyDescent="0.25">
      <c r="B242" s="303" t="s">
        <v>159</v>
      </c>
      <c r="C242" s="302">
        <f>IF($B$23=B242,$K$23,0)</f>
        <v>0</v>
      </c>
      <c r="D242" s="302">
        <f>IF($B$24=B242,$K$24,0)</f>
        <v>0</v>
      </c>
      <c r="E242" s="302">
        <f>IF($B$25=B242,$K$25,0)</f>
        <v>0</v>
      </c>
      <c r="F242" s="302">
        <f>IF($B$26=B242,$K$26,0)</f>
        <v>0</v>
      </c>
      <c r="G242" s="302">
        <f>IF($B$27=B242,$K$27,0)</f>
        <v>0</v>
      </c>
      <c r="H242" s="304">
        <f>IF(C242&gt;0,C242,IF(D242&gt;0,D242,IF(E242&gt;0,E242,IF(F242&gt;0,F242,IF(G242&gt;0,G242,0)))))</f>
        <v>0</v>
      </c>
    </row>
    <row r="243" spans="2:8" ht="15.75" hidden="1" x14ac:dyDescent="0.25">
      <c r="B243" s="303" t="s">
        <v>194</v>
      </c>
      <c r="C243" s="302">
        <f>IF($B$23=B243,$K$23,0)</f>
        <v>0</v>
      </c>
      <c r="D243" s="302">
        <f>IF($B$24=B243,$K$24,0)</f>
        <v>0</v>
      </c>
      <c r="E243" s="302">
        <f>IF($B$25=B243,$K$25,0)</f>
        <v>0</v>
      </c>
      <c r="F243" s="302">
        <f>IF($B$26=B243,$K$26,0)</f>
        <v>0</v>
      </c>
      <c r="G243" s="302">
        <f>IF($B$27=B243,$K$27,0)</f>
        <v>0</v>
      </c>
      <c r="H243" s="304">
        <f>IF(C243&gt;0,C243,IF(D243&gt;0,D243,IF(E243&gt;0,E243,IF(F243&gt;0,F243,IF(G243&gt;0,G243,0)))))</f>
        <v>0</v>
      </c>
    </row>
    <row r="244" spans="2:8" ht="15.75" hidden="1" x14ac:dyDescent="0.25">
      <c r="B244" s="303" t="s">
        <v>193</v>
      </c>
      <c r="C244" s="302">
        <f>IF($B$23=B244,$K$23,0)</f>
        <v>0</v>
      </c>
      <c r="D244" s="302">
        <f>IF($B$24=B244,$K$24,0)</f>
        <v>0</v>
      </c>
      <c r="E244" s="302">
        <f>IF($B$25=B244,$K$25,0)</f>
        <v>0</v>
      </c>
      <c r="F244" s="302">
        <f>IF($B$26=B244,$K$26,0)</f>
        <v>0</v>
      </c>
      <c r="G244" s="302">
        <f>IF($B$27=B244,$K$27,0)</f>
        <v>0</v>
      </c>
      <c r="H244" s="304">
        <f>IF(C244&gt;0,C244,IF(D244&gt;0,D244,IF(E244&gt;0,E244,IF(F244&gt;0,F244,IF(G244&gt;0,G244,0)))))</f>
        <v>0</v>
      </c>
    </row>
    <row r="245" spans="2:8" ht="15.75" hidden="1" x14ac:dyDescent="0.25">
      <c r="B245" s="303" t="s">
        <v>207</v>
      </c>
      <c r="C245" s="302">
        <f>IF($B$23=B245,$K$23,0)</f>
        <v>0</v>
      </c>
      <c r="D245" s="302">
        <f>IF($B$24=B245,$K$24,0)</f>
        <v>0</v>
      </c>
      <c r="E245" s="302">
        <f>IF($B$25=B245,$K$25,0)</f>
        <v>0</v>
      </c>
      <c r="F245" s="302">
        <f>IF($B$26=B245,$K$26,0)</f>
        <v>0</v>
      </c>
      <c r="G245" s="302">
        <f>IF($B$27=B245,$K$27,0)</f>
        <v>0</v>
      </c>
      <c r="H245" s="304">
        <f>IF(C245&gt;0,C245,IF(D245&gt;0,D245,IF(E245&gt;0,E245,IF(F245&gt;0,F245,IF(G245&gt;0,G245,0)))))</f>
        <v>0</v>
      </c>
    </row>
    <row r="246" spans="2:8" ht="16.5" hidden="1" thickBot="1" x14ac:dyDescent="0.3">
      <c r="B246" s="305" t="s">
        <v>195</v>
      </c>
      <c r="C246" s="302">
        <f>IF($B$23=B246,$K$23,0)</f>
        <v>0</v>
      </c>
      <c r="D246" s="302">
        <f>IF($B$24=B246,$K$24,0)</f>
        <v>0</v>
      </c>
      <c r="E246" s="302">
        <f>IF($B$25=B246,$K$25,0)</f>
        <v>0</v>
      </c>
      <c r="F246" s="302">
        <f>IF($B$26=B246,$K$26,0)</f>
        <v>0</v>
      </c>
      <c r="G246" s="302">
        <f>IF($B$27=B246,$K$27,0)</f>
        <v>0</v>
      </c>
      <c r="H246" s="304">
        <f>IF(C246&gt;0,C246,IF(D246&gt;0,D246,IF(E246&gt;0,E246,IF(F246&gt;0,F246,IF(G246&gt;0,G246,0)))))</f>
        <v>0</v>
      </c>
    </row>
    <row r="247" spans="2:8" hidden="1" x14ac:dyDescent="0.2"/>
  </sheetData>
  <sheetProtection sheet="1" objects="1" scenarios="1" selectLockedCells="1"/>
  <mergeCells count="122">
    <mergeCell ref="D96:M97"/>
    <mergeCell ref="R47:Z48"/>
    <mergeCell ref="R49:Z49"/>
    <mergeCell ref="B241:G241"/>
    <mergeCell ref="AB96:AG97"/>
    <mergeCell ref="X98:Y98"/>
    <mergeCell ref="V98:W98"/>
    <mergeCell ref="V161:W161"/>
    <mergeCell ref="X161:Y161"/>
    <mergeCell ref="B96:C96"/>
    <mergeCell ref="K92:M92"/>
    <mergeCell ref="K90:M90"/>
    <mergeCell ref="B91:D91"/>
    <mergeCell ref="B90:D90"/>
    <mergeCell ref="B89:D89"/>
    <mergeCell ref="B92:D92"/>
    <mergeCell ref="U96:Y97"/>
    <mergeCell ref="R96:T97"/>
    <mergeCell ref="R93:X93"/>
    <mergeCell ref="B88:D88"/>
    <mergeCell ref="K91:M91"/>
    <mergeCell ref="B86:D86"/>
    <mergeCell ref="B87:D87"/>
    <mergeCell ref="K88:M88"/>
    <mergeCell ref="K84:M84"/>
    <mergeCell ref="K81:M81"/>
    <mergeCell ref="K87:M87"/>
    <mergeCell ref="B81:D81"/>
    <mergeCell ref="B82:D82"/>
    <mergeCell ref="K89:M89"/>
    <mergeCell ref="B79:D79"/>
    <mergeCell ref="B78:D78"/>
    <mergeCell ref="K86:M86"/>
    <mergeCell ref="B80:D80"/>
    <mergeCell ref="B84:D84"/>
    <mergeCell ref="B83:D83"/>
    <mergeCell ref="K85:M85"/>
    <mergeCell ref="K72:M72"/>
    <mergeCell ref="K73:M73"/>
    <mergeCell ref="K83:M83"/>
    <mergeCell ref="B77:D77"/>
    <mergeCell ref="K76:M76"/>
    <mergeCell ref="B75:D75"/>
    <mergeCell ref="B74:D74"/>
    <mergeCell ref="K74:M74"/>
    <mergeCell ref="K75:M75"/>
    <mergeCell ref="B72:D72"/>
    <mergeCell ref="B76:D76"/>
    <mergeCell ref="B73:D73"/>
    <mergeCell ref="K77:M77"/>
    <mergeCell ref="K80:M80"/>
    <mergeCell ref="K78:M78"/>
    <mergeCell ref="K82:M82"/>
    <mergeCell ref="D5:I5"/>
    <mergeCell ref="B24:D24"/>
    <mergeCell ref="B28:D28"/>
    <mergeCell ref="B18:E18"/>
    <mergeCell ref="B23:D23"/>
    <mergeCell ref="B47:E47"/>
    <mergeCell ref="B35:D35"/>
    <mergeCell ref="B27:D27"/>
    <mergeCell ref="B36:D36"/>
    <mergeCell ref="B10:C10"/>
    <mergeCell ref="E6:K6"/>
    <mergeCell ref="I20:J20"/>
    <mergeCell ref="I21:I22"/>
    <mergeCell ref="J21:J22"/>
    <mergeCell ref="I30:J30"/>
    <mergeCell ref="I31:I32"/>
    <mergeCell ref="B30:D32"/>
    <mergeCell ref="B20:D22"/>
    <mergeCell ref="F18:K18"/>
    <mergeCell ref="B37:D37"/>
    <mergeCell ref="B19:D19"/>
    <mergeCell ref="B25:D25"/>
    <mergeCell ref="B34:D34"/>
    <mergeCell ref="B33:D33"/>
    <mergeCell ref="B68:D68"/>
    <mergeCell ref="B63:D63"/>
    <mergeCell ref="K65:M65"/>
    <mergeCell ref="K71:M71"/>
    <mergeCell ref="B71:D71"/>
    <mergeCell ref="K66:M66"/>
    <mergeCell ref="K59:M59"/>
    <mergeCell ref="K55:M55"/>
    <mergeCell ref="K63:M63"/>
    <mergeCell ref="K64:M64"/>
    <mergeCell ref="B70:D70"/>
    <mergeCell ref="B58:D58"/>
    <mergeCell ref="K60:M60"/>
    <mergeCell ref="K61:M61"/>
    <mergeCell ref="B69:D69"/>
    <mergeCell ref="B65:D65"/>
    <mergeCell ref="B61:D61"/>
    <mergeCell ref="B60:D60"/>
    <mergeCell ref="K70:M70"/>
    <mergeCell ref="K62:M62"/>
    <mergeCell ref="K56:M56"/>
    <mergeCell ref="B57:D57"/>
    <mergeCell ref="B59:D59"/>
    <mergeCell ref="B62:D62"/>
    <mergeCell ref="B64:D64"/>
    <mergeCell ref="B66:D66"/>
    <mergeCell ref="B67:D67"/>
    <mergeCell ref="B55:D55"/>
    <mergeCell ref="O14:P15"/>
    <mergeCell ref="O16:P16"/>
    <mergeCell ref="B26:D26"/>
    <mergeCell ref="B38:D38"/>
    <mergeCell ref="J31:J32"/>
    <mergeCell ref="K52:M52"/>
    <mergeCell ref="E49:H49"/>
    <mergeCell ref="B51:D51"/>
    <mergeCell ref="B54:D54"/>
    <mergeCell ref="B52:D52"/>
    <mergeCell ref="K53:M53"/>
    <mergeCell ref="K54:M54"/>
    <mergeCell ref="B56:D56"/>
    <mergeCell ref="B49:D49"/>
    <mergeCell ref="B53:D53"/>
    <mergeCell ref="E52:I56"/>
    <mergeCell ref="K49:M49"/>
  </mergeCells>
  <phoneticPr fontId="4" type="noConversion"/>
  <conditionalFormatting sqref="L100:L158 L163:L238">
    <cfRule type="cellIs" dxfId="9" priority="37" stopIfTrue="1" operator="greaterThanOrEqual">
      <formula>2.54</formula>
    </cfRule>
    <cfRule type="cellIs" dxfId="8" priority="38" stopIfTrue="1" operator="between">
      <formula>2.286</formula>
      <formula>2.539</formula>
    </cfRule>
    <cfRule type="cellIs" dxfId="7" priority="39" stopIfTrue="1" operator="between">
      <formula>2.032</formula>
      <formula>2.285</formula>
    </cfRule>
  </conditionalFormatting>
  <conditionalFormatting sqref="H163:H238 H100:H158">
    <cfRule type="cellIs" dxfId="6" priority="167" stopIfTrue="1" operator="greaterThan">
      <formula>0</formula>
    </cfRule>
  </conditionalFormatting>
  <conditionalFormatting sqref="R95 Q94 Q55:Q78">
    <cfRule type="expression" dxfId="5" priority="25" stopIfTrue="1">
      <formula>"$h15=2 and $i15=2"</formula>
    </cfRule>
  </conditionalFormatting>
  <conditionalFormatting sqref="L38">
    <cfRule type="cellIs" dxfId="4" priority="215" stopIfTrue="1" operator="lessThan">
      <formula>0</formula>
    </cfRule>
    <cfRule type="cellIs" dxfId="3" priority="216" stopIfTrue="1" operator="greaterThan">
      <formula>0</formula>
    </cfRule>
  </conditionalFormatting>
  <conditionalFormatting sqref="AI45:AI49">
    <cfRule type="cellIs" dxfId="2" priority="15" stopIfTrue="1" operator="lessThan">
      <formula>0</formula>
    </cfRule>
    <cfRule type="cellIs" dxfId="1" priority="16" stopIfTrue="1" operator="greaterThan">
      <formula>0</formula>
    </cfRule>
  </conditionalFormatting>
  <conditionalFormatting sqref="E23:E27">
    <cfRule type="expression" dxfId="0" priority="1">
      <formula>$K$23:$K$27&gt;0</formula>
    </cfRule>
  </conditionalFormatting>
  <dataValidations count="2">
    <dataValidation type="list" allowBlank="1" showInputMessage="1" showErrorMessage="1" sqref="B33:B37" xr:uid="{00000000-0002-0000-0100-000000000000}">
      <formula1>$B$100:$B$127</formula1>
    </dataValidation>
    <dataValidation type="list" allowBlank="1" showInputMessage="1" showErrorMessage="1" sqref="B23:D27" xr:uid="{00000000-0002-0000-0100-000001000000}">
      <formula1>$B$52:$B$56</formula1>
    </dataValidation>
  </dataValidations>
  <pageMargins left="0.75" right="0.72" top="1" bottom="1" header="0.5" footer="0.5"/>
  <pageSetup scale="34"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showRowColHeaders="0" workbookViewId="0">
      <selection activeCell="B7" sqref="B7"/>
    </sheetView>
  </sheetViews>
  <sheetFormatPr defaultColWidth="0" defaultRowHeight="12.75" zeroHeight="1" x14ac:dyDescent="0.2"/>
  <cols>
    <col min="1" max="1" width="2.85546875" style="5" customWidth="1"/>
    <col min="2" max="4" width="9.140625" style="5" customWidth="1"/>
    <col min="5" max="5" width="2.85546875" style="5" customWidth="1"/>
    <col min="6" max="7" width="9.140625" style="5" customWidth="1"/>
    <col min="8" max="8" width="2.85546875" style="5" customWidth="1"/>
    <col min="9" max="9" width="9.5703125" style="5" customWidth="1"/>
    <col min="10" max="10" width="10.85546875" style="5" customWidth="1"/>
    <col min="11" max="11" width="2.85546875" style="5" customWidth="1"/>
    <col min="12" max="12" width="14" style="5" customWidth="1"/>
    <col min="13" max="13" width="3.140625" style="5" customWidth="1"/>
    <col min="14" max="14" width="14.28515625" style="5" customWidth="1"/>
    <col min="15" max="15" width="2.85546875" style="5" customWidth="1"/>
    <col min="16" max="16" width="10.28515625" style="5" customWidth="1"/>
    <col min="17" max="17" width="9.140625" style="5" customWidth="1"/>
    <col min="18" max="18" width="2.85546875" style="5" customWidth="1"/>
    <col min="19" max="19" width="14.28515625" style="5" customWidth="1"/>
    <col min="20" max="20" width="10.85546875" style="5" customWidth="1"/>
    <col min="21" max="21" width="2.85546875" style="5" customWidth="1"/>
    <col min="22" max="16384" width="9.140625" style="5" hidden="1"/>
  </cols>
  <sheetData>
    <row r="1" spans="1:21" x14ac:dyDescent="0.2">
      <c r="A1" s="387"/>
      <c r="B1" s="387"/>
      <c r="C1" s="387"/>
      <c r="D1" s="387"/>
      <c r="E1" s="387"/>
      <c r="F1" s="387"/>
      <c r="G1" s="387"/>
      <c r="H1" s="387"/>
      <c r="I1" s="387"/>
      <c r="J1" s="387"/>
      <c r="K1" s="387"/>
      <c r="L1" s="387"/>
      <c r="M1" s="387"/>
      <c r="N1" s="387"/>
      <c r="O1" s="387"/>
      <c r="P1" s="387"/>
      <c r="Q1" s="387"/>
      <c r="R1" s="387"/>
      <c r="S1" s="387"/>
      <c r="T1" s="387"/>
      <c r="U1" s="387"/>
    </row>
    <row r="2" spans="1:21" x14ac:dyDescent="0.2">
      <c r="A2" s="387"/>
      <c r="B2" s="388" t="s">
        <v>230</v>
      </c>
      <c r="C2" s="387"/>
      <c r="D2" s="387"/>
      <c r="E2" s="387"/>
      <c r="F2" s="387"/>
      <c r="G2" s="387"/>
      <c r="H2" s="387"/>
      <c r="I2" s="387"/>
      <c r="J2" s="387"/>
      <c r="K2" s="387"/>
      <c r="L2" s="387"/>
      <c r="M2" s="387"/>
      <c r="N2" s="387"/>
      <c r="O2" s="387"/>
      <c r="P2" s="387"/>
      <c r="Q2" s="387"/>
      <c r="R2" s="387"/>
      <c r="S2" s="387"/>
      <c r="T2" s="387"/>
      <c r="U2" s="387"/>
    </row>
    <row r="3" spans="1:21" x14ac:dyDescent="0.2">
      <c r="A3" s="387"/>
      <c r="B3" s="388"/>
      <c r="C3" s="387"/>
      <c r="D3" s="387"/>
      <c r="E3" s="387"/>
      <c r="F3" s="387"/>
      <c r="G3" s="387"/>
      <c r="H3" s="387"/>
      <c r="I3" s="387"/>
      <c r="J3" s="387"/>
      <c r="K3" s="387"/>
      <c r="L3" s="387"/>
      <c r="M3" s="387"/>
      <c r="N3" s="387"/>
      <c r="O3" s="387"/>
      <c r="P3" s="387"/>
      <c r="Q3" s="387"/>
      <c r="R3" s="387"/>
      <c r="S3" s="387"/>
      <c r="T3" s="387"/>
      <c r="U3" s="387"/>
    </row>
    <row r="4" spans="1:21" ht="13.5" thickBot="1" x14ac:dyDescent="0.25"/>
    <row r="5" spans="1:21" ht="42" customHeight="1" thickBot="1" x14ac:dyDescent="0.25">
      <c r="B5" s="633" t="s">
        <v>82</v>
      </c>
      <c r="C5" s="638"/>
      <c r="D5" s="634"/>
      <c r="E5" s="7"/>
      <c r="F5" s="633" t="s">
        <v>83</v>
      </c>
      <c r="G5" s="634"/>
      <c r="H5" s="7"/>
      <c r="I5" s="633" t="s">
        <v>84</v>
      </c>
      <c r="J5" s="634"/>
      <c r="L5" s="633" t="s">
        <v>5</v>
      </c>
      <c r="M5" s="638"/>
      <c r="N5" s="634"/>
      <c r="O5" s="7"/>
      <c r="P5" s="633" t="s">
        <v>1</v>
      </c>
      <c r="Q5" s="634"/>
      <c r="R5" s="7"/>
      <c r="S5" s="633" t="s">
        <v>85</v>
      </c>
      <c r="T5" s="634"/>
      <c r="U5" s="7"/>
    </row>
    <row r="6" spans="1:21" s="6" customFormat="1" ht="15" thickTop="1" x14ac:dyDescent="0.2">
      <c r="B6" s="175" t="s">
        <v>86</v>
      </c>
      <c r="C6" s="8" t="s">
        <v>87</v>
      </c>
      <c r="D6" s="176" t="s">
        <v>88</v>
      </c>
      <c r="E6" s="9"/>
      <c r="F6" s="175" t="s">
        <v>89</v>
      </c>
      <c r="G6" s="176" t="s">
        <v>90</v>
      </c>
      <c r="H6" s="9"/>
      <c r="I6" s="177" t="s">
        <v>91</v>
      </c>
      <c r="J6" s="178" t="s">
        <v>92</v>
      </c>
      <c r="L6" s="175" t="s">
        <v>93</v>
      </c>
      <c r="M6" s="8"/>
      <c r="N6" s="176" t="s">
        <v>94</v>
      </c>
      <c r="O6" s="9"/>
      <c r="P6" s="175" t="s">
        <v>95</v>
      </c>
      <c r="Q6" s="176" t="s">
        <v>96</v>
      </c>
      <c r="R6" s="9"/>
      <c r="S6" s="175" t="s">
        <v>97</v>
      </c>
      <c r="T6" s="176" t="s">
        <v>98</v>
      </c>
      <c r="U6" s="9"/>
    </row>
    <row r="7" spans="1:21" s="10" customFormat="1" x14ac:dyDescent="0.2">
      <c r="B7" s="389">
        <v>1</v>
      </c>
      <c r="C7" s="390">
        <f>ROUND(B7/(3.2808334)^3*60,0)</f>
        <v>2</v>
      </c>
      <c r="D7" s="391">
        <f>ROUND(C7/3600,3)</f>
        <v>1E-3</v>
      </c>
      <c r="F7" s="389">
        <v>1</v>
      </c>
      <c r="G7" s="392">
        <f>ROUND(F7/3.2808334/60,2)</f>
        <v>0.01</v>
      </c>
      <c r="I7" s="389">
        <v>1</v>
      </c>
      <c r="J7" s="393">
        <f>I7/3.2808334</f>
        <v>0.30480060340765852</v>
      </c>
      <c r="L7" s="389">
        <v>1</v>
      </c>
      <c r="M7" s="190"/>
      <c r="N7" s="392">
        <f>L7/(3.2808334)^3*60</f>
        <v>1.6990208860530269</v>
      </c>
      <c r="P7" s="389">
        <v>0.2</v>
      </c>
      <c r="Q7" s="391">
        <f>P7*249</f>
        <v>49.800000000000004</v>
      </c>
      <c r="S7" s="389">
        <v>1</v>
      </c>
      <c r="T7" s="394">
        <f>(S7-32)*5/9</f>
        <v>-17.222222222222221</v>
      </c>
    </row>
    <row r="8" spans="1:21" x14ac:dyDescent="0.2">
      <c r="A8" s="11"/>
      <c r="B8" s="12">
        <v>2000</v>
      </c>
      <c r="C8" s="13">
        <f t="shared" ref="C8:C47" si="0">B8/(3.2808334)^3*60</f>
        <v>3398.0417721060535</v>
      </c>
      <c r="D8" s="14">
        <f t="shared" ref="D8:D47" si="1">C8/3600</f>
        <v>0.94390049225168149</v>
      </c>
      <c r="E8" s="11"/>
      <c r="F8" s="12">
        <v>50</v>
      </c>
      <c r="G8" s="15">
        <f t="shared" ref="G8:G25" si="2">F8/3.2808334/60</f>
        <v>0.25400050283971543</v>
      </c>
      <c r="H8" s="11"/>
      <c r="I8" s="12">
        <v>10</v>
      </c>
      <c r="J8" s="16">
        <f t="shared" ref="J8:J30" si="3">I8/3.2808334</f>
        <v>3.0480060340765855</v>
      </c>
      <c r="L8" s="17">
        <v>10</v>
      </c>
      <c r="M8" s="184"/>
      <c r="N8" s="18">
        <f t="shared" ref="N8:N28" si="4">L8/(3.2808334)^3*60</f>
        <v>16.990208860530267</v>
      </c>
      <c r="O8" s="11"/>
      <c r="P8" s="19">
        <v>0.01</v>
      </c>
      <c r="Q8" s="20">
        <f t="shared" ref="Q8:Q38" si="5">P8*249</f>
        <v>2.4900000000000002</v>
      </c>
      <c r="S8" s="17">
        <v>32</v>
      </c>
      <c r="T8" s="18">
        <f>(S8-32)/9*5</f>
        <v>0</v>
      </c>
    </row>
    <row r="9" spans="1:21" x14ac:dyDescent="0.2">
      <c r="A9" s="11"/>
      <c r="B9" s="12">
        <f t="shared" ref="B9:B47" si="6">B8+500</f>
        <v>2500</v>
      </c>
      <c r="C9" s="13">
        <f t="shared" si="0"/>
        <v>4247.5522151325677</v>
      </c>
      <c r="D9" s="14">
        <f t="shared" si="1"/>
        <v>1.1798756153146022</v>
      </c>
      <c r="E9" s="11"/>
      <c r="F9" s="12">
        <f>F8+50</f>
        <v>100</v>
      </c>
      <c r="G9" s="15">
        <f t="shared" si="2"/>
        <v>0.50800100567943085</v>
      </c>
      <c r="H9" s="11"/>
      <c r="I9" s="12">
        <f>I8+5</f>
        <v>15</v>
      </c>
      <c r="J9" s="16">
        <f t="shared" si="3"/>
        <v>4.5720090511148781</v>
      </c>
      <c r="L9" s="17">
        <f>L8+1</f>
        <v>11</v>
      </c>
      <c r="M9" s="184"/>
      <c r="N9" s="18">
        <f t="shared" si="4"/>
        <v>18.689229746583294</v>
      </c>
      <c r="O9" s="11"/>
      <c r="P9" s="19">
        <f>P8+0.01</f>
        <v>0.02</v>
      </c>
      <c r="Q9" s="20">
        <f t="shared" si="5"/>
        <v>4.9800000000000004</v>
      </c>
      <c r="S9" s="17">
        <f t="shared" ref="S9:S47" si="7">S8+2</f>
        <v>34</v>
      </c>
      <c r="T9" s="18">
        <f t="shared" ref="T9:T47" si="8">(S9-32)/9*5</f>
        <v>1.1111111111111112</v>
      </c>
    </row>
    <row r="10" spans="1:21" x14ac:dyDescent="0.2">
      <c r="A10" s="11"/>
      <c r="B10" s="12">
        <f t="shared" si="6"/>
        <v>3000</v>
      </c>
      <c r="C10" s="13">
        <f t="shared" si="0"/>
        <v>5097.0626581590805</v>
      </c>
      <c r="D10" s="14">
        <f t="shared" si="1"/>
        <v>1.4158507383775223</v>
      </c>
      <c r="E10" s="11"/>
      <c r="F10" s="12">
        <f t="shared" ref="F10:F25" si="9">F9+50</f>
        <v>150</v>
      </c>
      <c r="G10" s="15">
        <f t="shared" si="2"/>
        <v>0.76200150851914639</v>
      </c>
      <c r="H10" s="11"/>
      <c r="I10" s="12">
        <f t="shared" ref="I10:I19" si="10">I9+5</f>
        <v>20</v>
      </c>
      <c r="J10" s="16">
        <f t="shared" si="3"/>
        <v>6.0960120681531711</v>
      </c>
      <c r="L10" s="17">
        <f t="shared" ref="L10:L28" si="11">L9+1</f>
        <v>12</v>
      </c>
      <c r="M10" s="184"/>
      <c r="N10" s="18">
        <f t="shared" si="4"/>
        <v>20.388250632636325</v>
      </c>
      <c r="O10" s="11"/>
      <c r="P10" s="19">
        <f t="shared" ref="P10:P38" si="12">P9+0.01</f>
        <v>0.03</v>
      </c>
      <c r="Q10" s="20">
        <f t="shared" si="5"/>
        <v>7.47</v>
      </c>
      <c r="S10" s="17">
        <f t="shared" si="7"/>
        <v>36</v>
      </c>
      <c r="T10" s="18">
        <f t="shared" si="8"/>
        <v>2.2222222222222223</v>
      </c>
    </row>
    <row r="11" spans="1:21" x14ac:dyDescent="0.2">
      <c r="A11" s="11"/>
      <c r="B11" s="12">
        <f t="shared" si="6"/>
        <v>3500</v>
      </c>
      <c r="C11" s="13">
        <f t="shared" si="0"/>
        <v>5946.5731011855942</v>
      </c>
      <c r="D11" s="14">
        <f t="shared" si="1"/>
        <v>1.6518258614404429</v>
      </c>
      <c r="E11" s="11"/>
      <c r="F11" s="12">
        <f t="shared" si="9"/>
        <v>200</v>
      </c>
      <c r="G11" s="15">
        <f t="shared" si="2"/>
        <v>1.0160020113588617</v>
      </c>
      <c r="H11" s="11"/>
      <c r="I11" s="12">
        <f t="shared" si="10"/>
        <v>25</v>
      </c>
      <c r="J11" s="16">
        <f t="shared" si="3"/>
        <v>7.6200150851914632</v>
      </c>
      <c r="L11" s="17">
        <f t="shared" si="11"/>
        <v>13</v>
      </c>
      <c r="M11" s="184"/>
      <c r="N11" s="18">
        <f t="shared" si="4"/>
        <v>22.087271518689352</v>
      </c>
      <c r="O11" s="11"/>
      <c r="P11" s="19">
        <f t="shared" si="12"/>
        <v>0.04</v>
      </c>
      <c r="Q11" s="20">
        <f t="shared" si="5"/>
        <v>9.9600000000000009</v>
      </c>
      <c r="S11" s="17">
        <f t="shared" si="7"/>
        <v>38</v>
      </c>
      <c r="T11" s="18">
        <f t="shared" si="8"/>
        <v>3.333333333333333</v>
      </c>
    </row>
    <row r="12" spans="1:21" x14ac:dyDescent="0.2">
      <c r="A12" s="11"/>
      <c r="B12" s="12">
        <f t="shared" si="6"/>
        <v>4000</v>
      </c>
      <c r="C12" s="13">
        <f t="shared" si="0"/>
        <v>6796.083544212107</v>
      </c>
      <c r="D12" s="14">
        <f t="shared" si="1"/>
        <v>1.887800984503363</v>
      </c>
      <c r="E12" s="21"/>
      <c r="F12" s="12">
        <f t="shared" si="9"/>
        <v>250</v>
      </c>
      <c r="G12" s="15">
        <f t="shared" si="2"/>
        <v>1.2700025141985773</v>
      </c>
      <c r="H12" s="11"/>
      <c r="I12" s="12">
        <f t="shared" si="10"/>
        <v>30</v>
      </c>
      <c r="J12" s="16">
        <f t="shared" si="3"/>
        <v>9.1440181022297562</v>
      </c>
      <c r="L12" s="17">
        <f t="shared" si="11"/>
        <v>14</v>
      </c>
      <c r="M12" s="184"/>
      <c r="N12" s="18">
        <f t="shared" si="4"/>
        <v>23.786292404742376</v>
      </c>
      <c r="O12" s="11"/>
      <c r="P12" s="19">
        <f t="shared" si="12"/>
        <v>0.05</v>
      </c>
      <c r="Q12" s="20">
        <f t="shared" si="5"/>
        <v>12.450000000000001</v>
      </c>
      <c r="S12" s="17">
        <f t="shared" si="7"/>
        <v>40</v>
      </c>
      <c r="T12" s="18">
        <f t="shared" si="8"/>
        <v>4.4444444444444446</v>
      </c>
    </row>
    <row r="13" spans="1:21" x14ac:dyDescent="0.2">
      <c r="A13" s="11"/>
      <c r="B13" s="12">
        <f t="shared" si="6"/>
        <v>4500</v>
      </c>
      <c r="C13" s="13">
        <f t="shared" si="0"/>
        <v>7645.5939872386207</v>
      </c>
      <c r="D13" s="14">
        <f t="shared" si="1"/>
        <v>2.1237761075662833</v>
      </c>
      <c r="E13" s="11"/>
      <c r="F13" s="12">
        <f t="shared" si="9"/>
        <v>300</v>
      </c>
      <c r="G13" s="15">
        <f t="shared" si="2"/>
        <v>1.5240030170382928</v>
      </c>
      <c r="H13" s="11"/>
      <c r="I13" s="12">
        <f t="shared" si="10"/>
        <v>35</v>
      </c>
      <c r="J13" s="16">
        <f t="shared" si="3"/>
        <v>10.668021119268049</v>
      </c>
      <c r="L13" s="17">
        <f t="shared" si="11"/>
        <v>15</v>
      </c>
      <c r="M13" s="184"/>
      <c r="N13" s="18">
        <f t="shared" si="4"/>
        <v>25.485313290795403</v>
      </c>
      <c r="O13" s="11"/>
      <c r="P13" s="19">
        <f t="shared" si="12"/>
        <v>6.0000000000000005E-2</v>
      </c>
      <c r="Q13" s="20">
        <f t="shared" si="5"/>
        <v>14.940000000000001</v>
      </c>
      <c r="S13" s="17">
        <f t="shared" si="7"/>
        <v>42</v>
      </c>
      <c r="T13" s="18">
        <f t="shared" si="8"/>
        <v>5.5555555555555554</v>
      </c>
    </row>
    <row r="14" spans="1:21" x14ac:dyDescent="0.2">
      <c r="A14" s="11"/>
      <c r="B14" s="12">
        <f t="shared" si="6"/>
        <v>5000</v>
      </c>
      <c r="C14" s="13">
        <f t="shared" si="0"/>
        <v>8495.1044302651353</v>
      </c>
      <c r="D14" s="14">
        <f t="shared" si="1"/>
        <v>2.3597512306292043</v>
      </c>
      <c r="E14" s="11"/>
      <c r="F14" s="12">
        <f t="shared" si="9"/>
        <v>350</v>
      </c>
      <c r="G14" s="15">
        <f t="shared" si="2"/>
        <v>1.7780035198780082</v>
      </c>
      <c r="H14" s="11"/>
      <c r="I14" s="12">
        <f t="shared" si="10"/>
        <v>40</v>
      </c>
      <c r="J14" s="16">
        <f t="shared" si="3"/>
        <v>12.192024136306342</v>
      </c>
      <c r="L14" s="17">
        <f t="shared" si="11"/>
        <v>16</v>
      </c>
      <c r="M14" s="184"/>
      <c r="N14" s="18">
        <f t="shared" si="4"/>
        <v>27.184334176848431</v>
      </c>
      <c r="O14" s="11"/>
      <c r="P14" s="19">
        <f t="shared" si="12"/>
        <v>7.0000000000000007E-2</v>
      </c>
      <c r="Q14" s="20">
        <f t="shared" si="5"/>
        <v>17.430000000000003</v>
      </c>
      <c r="S14" s="17">
        <f t="shared" si="7"/>
        <v>44</v>
      </c>
      <c r="T14" s="18">
        <f t="shared" si="8"/>
        <v>6.6666666666666661</v>
      </c>
    </row>
    <row r="15" spans="1:21" x14ac:dyDescent="0.2">
      <c r="A15" s="11"/>
      <c r="B15" s="12">
        <f t="shared" si="6"/>
        <v>5500</v>
      </c>
      <c r="C15" s="13">
        <f t="shared" si="0"/>
        <v>9344.6148732916481</v>
      </c>
      <c r="D15" s="14">
        <f t="shared" si="1"/>
        <v>2.5957263536921245</v>
      </c>
      <c r="E15" s="11"/>
      <c r="F15" s="12">
        <f t="shared" si="9"/>
        <v>400</v>
      </c>
      <c r="G15" s="15">
        <f t="shared" si="2"/>
        <v>2.0320040227177234</v>
      </c>
      <c r="H15" s="11"/>
      <c r="I15" s="12">
        <f t="shared" si="10"/>
        <v>45</v>
      </c>
      <c r="J15" s="16">
        <f t="shared" si="3"/>
        <v>13.716027153344635</v>
      </c>
      <c r="L15" s="17">
        <f t="shared" si="11"/>
        <v>17</v>
      </c>
      <c r="M15" s="184"/>
      <c r="N15" s="18">
        <f t="shared" si="4"/>
        <v>28.883355062901458</v>
      </c>
      <c r="O15" s="11"/>
      <c r="P15" s="19">
        <f t="shared" si="12"/>
        <v>0.08</v>
      </c>
      <c r="Q15" s="20">
        <f t="shared" si="5"/>
        <v>19.920000000000002</v>
      </c>
      <c r="S15" s="17">
        <f t="shared" si="7"/>
        <v>46</v>
      </c>
      <c r="T15" s="18">
        <f t="shared" si="8"/>
        <v>7.7777777777777777</v>
      </c>
    </row>
    <row r="16" spans="1:21" x14ac:dyDescent="0.2">
      <c r="A16" s="11"/>
      <c r="B16" s="12">
        <f t="shared" si="6"/>
        <v>6000</v>
      </c>
      <c r="C16" s="13">
        <f t="shared" si="0"/>
        <v>10194.125316318161</v>
      </c>
      <c r="D16" s="14">
        <f t="shared" si="1"/>
        <v>2.8317014767550446</v>
      </c>
      <c r="E16" s="11"/>
      <c r="F16" s="12">
        <f t="shared" si="9"/>
        <v>450</v>
      </c>
      <c r="G16" s="15">
        <f t="shared" si="2"/>
        <v>2.286004525557439</v>
      </c>
      <c r="H16" s="11"/>
      <c r="I16" s="12">
        <f t="shared" si="10"/>
        <v>50</v>
      </c>
      <c r="J16" s="16">
        <f t="shared" si="3"/>
        <v>15.240030170382926</v>
      </c>
      <c r="L16" s="17">
        <f t="shared" si="11"/>
        <v>18</v>
      </c>
      <c r="M16" s="184"/>
      <c r="N16" s="18">
        <f t="shared" si="4"/>
        <v>30.582375948954482</v>
      </c>
      <c r="O16" s="11"/>
      <c r="P16" s="19">
        <f t="shared" si="12"/>
        <v>0.09</v>
      </c>
      <c r="Q16" s="20">
        <f t="shared" si="5"/>
        <v>22.41</v>
      </c>
      <c r="S16" s="17">
        <f t="shared" si="7"/>
        <v>48</v>
      </c>
      <c r="T16" s="18">
        <f t="shared" si="8"/>
        <v>8.8888888888888893</v>
      </c>
    </row>
    <row r="17" spans="1:20" x14ac:dyDescent="0.2">
      <c r="A17" s="11"/>
      <c r="B17" s="12">
        <f t="shared" si="6"/>
        <v>6500</v>
      </c>
      <c r="C17" s="13">
        <f t="shared" si="0"/>
        <v>11043.635759344674</v>
      </c>
      <c r="D17" s="14">
        <f t="shared" si="1"/>
        <v>3.0676765998179647</v>
      </c>
      <c r="E17" s="11"/>
      <c r="F17" s="12">
        <f t="shared" si="9"/>
        <v>500</v>
      </c>
      <c r="G17" s="15">
        <f t="shared" si="2"/>
        <v>2.5400050283971547</v>
      </c>
      <c r="H17" s="11"/>
      <c r="I17" s="12">
        <f t="shared" si="10"/>
        <v>55</v>
      </c>
      <c r="J17" s="16">
        <f t="shared" si="3"/>
        <v>16.764033187421219</v>
      </c>
      <c r="L17" s="17">
        <f t="shared" si="11"/>
        <v>19</v>
      </c>
      <c r="M17" s="184"/>
      <c r="N17" s="18">
        <f t="shared" si="4"/>
        <v>32.281396835007513</v>
      </c>
      <c r="O17" s="11"/>
      <c r="P17" s="19">
        <f t="shared" si="12"/>
        <v>9.9999999999999992E-2</v>
      </c>
      <c r="Q17" s="20">
        <f t="shared" si="5"/>
        <v>24.9</v>
      </c>
      <c r="S17" s="17">
        <f t="shared" si="7"/>
        <v>50</v>
      </c>
      <c r="T17" s="18">
        <f t="shared" si="8"/>
        <v>10</v>
      </c>
    </row>
    <row r="18" spans="1:20" x14ac:dyDescent="0.2">
      <c r="A18" s="11"/>
      <c r="B18" s="12">
        <f t="shared" si="6"/>
        <v>7000</v>
      </c>
      <c r="C18" s="13">
        <f t="shared" si="0"/>
        <v>11893.146202371188</v>
      </c>
      <c r="D18" s="14">
        <f t="shared" si="1"/>
        <v>3.3036517228808857</v>
      </c>
      <c r="E18" s="11"/>
      <c r="F18" s="12">
        <f t="shared" si="9"/>
        <v>550</v>
      </c>
      <c r="G18" s="15">
        <f t="shared" si="2"/>
        <v>2.7940055312368699</v>
      </c>
      <c r="H18" s="11"/>
      <c r="I18" s="12">
        <f t="shared" si="10"/>
        <v>60</v>
      </c>
      <c r="J18" s="16">
        <f t="shared" si="3"/>
        <v>18.288036204459512</v>
      </c>
      <c r="L18" s="17">
        <f t="shared" si="11"/>
        <v>20</v>
      </c>
      <c r="M18" s="184"/>
      <c r="N18" s="18">
        <f t="shared" si="4"/>
        <v>33.980417721060533</v>
      </c>
      <c r="O18" s="11"/>
      <c r="P18" s="19">
        <f t="shared" si="12"/>
        <v>0.10999999999999999</v>
      </c>
      <c r="Q18" s="20">
        <f t="shared" si="5"/>
        <v>27.389999999999997</v>
      </c>
      <c r="S18" s="17">
        <f t="shared" si="7"/>
        <v>52</v>
      </c>
      <c r="T18" s="18">
        <f t="shared" si="8"/>
        <v>11.111111111111111</v>
      </c>
    </row>
    <row r="19" spans="1:20" x14ac:dyDescent="0.2">
      <c r="A19" s="11"/>
      <c r="B19" s="12">
        <f t="shared" si="6"/>
        <v>7500</v>
      </c>
      <c r="C19" s="13">
        <f t="shared" si="0"/>
        <v>12742.656645397703</v>
      </c>
      <c r="D19" s="14">
        <f t="shared" si="1"/>
        <v>3.5396268459438063</v>
      </c>
      <c r="E19" s="11"/>
      <c r="F19" s="12">
        <f t="shared" si="9"/>
        <v>600</v>
      </c>
      <c r="G19" s="15">
        <f t="shared" si="2"/>
        <v>3.0480060340765855</v>
      </c>
      <c r="H19" s="11"/>
      <c r="I19" s="12">
        <f t="shared" si="10"/>
        <v>65</v>
      </c>
      <c r="J19" s="16">
        <f t="shared" si="3"/>
        <v>19.812039221497805</v>
      </c>
      <c r="L19" s="17">
        <f t="shared" si="11"/>
        <v>21</v>
      </c>
      <c r="M19" s="184"/>
      <c r="N19" s="18">
        <f t="shared" si="4"/>
        <v>35.679438607113561</v>
      </c>
      <c r="O19" s="11"/>
      <c r="P19" s="19">
        <f t="shared" si="12"/>
        <v>0.11999999999999998</v>
      </c>
      <c r="Q19" s="20">
        <f t="shared" si="5"/>
        <v>29.879999999999995</v>
      </c>
      <c r="S19" s="17">
        <f t="shared" si="7"/>
        <v>54</v>
      </c>
      <c r="T19" s="18">
        <f t="shared" si="8"/>
        <v>12.222222222222223</v>
      </c>
    </row>
    <row r="20" spans="1:20" x14ac:dyDescent="0.2">
      <c r="A20" s="11"/>
      <c r="B20" s="12">
        <f t="shared" si="6"/>
        <v>8000</v>
      </c>
      <c r="C20" s="13">
        <f t="shared" si="0"/>
        <v>13592.167088424214</v>
      </c>
      <c r="D20" s="14">
        <f t="shared" si="1"/>
        <v>3.775601969006726</v>
      </c>
      <c r="E20" s="11"/>
      <c r="F20" s="12">
        <f t="shared" si="9"/>
        <v>650</v>
      </c>
      <c r="G20" s="15">
        <f t="shared" si="2"/>
        <v>3.3020065369163007</v>
      </c>
      <c r="H20" s="11"/>
      <c r="I20" s="12">
        <v>100</v>
      </c>
      <c r="J20" s="16">
        <f t="shared" si="3"/>
        <v>30.480060340765853</v>
      </c>
      <c r="L20" s="17">
        <f t="shared" si="11"/>
        <v>22</v>
      </c>
      <c r="M20" s="184"/>
      <c r="N20" s="18">
        <f t="shared" si="4"/>
        <v>37.378459493166588</v>
      </c>
      <c r="O20" s="11"/>
      <c r="P20" s="19">
        <f t="shared" si="12"/>
        <v>0.12999999999999998</v>
      </c>
      <c r="Q20" s="20">
        <f t="shared" si="5"/>
        <v>32.369999999999997</v>
      </c>
      <c r="S20" s="17">
        <f t="shared" si="7"/>
        <v>56</v>
      </c>
      <c r="T20" s="18">
        <f t="shared" si="8"/>
        <v>13.333333333333332</v>
      </c>
    </row>
    <row r="21" spans="1:20" x14ac:dyDescent="0.2">
      <c r="A21" s="11"/>
      <c r="B21" s="12">
        <f t="shared" si="6"/>
        <v>8500</v>
      </c>
      <c r="C21" s="13">
        <f t="shared" si="0"/>
        <v>14441.677531450729</v>
      </c>
      <c r="D21" s="14">
        <f t="shared" si="1"/>
        <v>4.011577092069647</v>
      </c>
      <c r="E21" s="11"/>
      <c r="F21" s="12">
        <f t="shared" si="9"/>
        <v>700</v>
      </c>
      <c r="G21" s="15">
        <f t="shared" si="2"/>
        <v>3.5560070397560164</v>
      </c>
      <c r="H21" s="11"/>
      <c r="I21" s="12">
        <v>300</v>
      </c>
      <c r="J21" s="16">
        <f t="shared" si="3"/>
        <v>91.440181022297566</v>
      </c>
      <c r="L21" s="17">
        <f t="shared" si="11"/>
        <v>23</v>
      </c>
      <c r="M21" s="184"/>
      <c r="N21" s="18">
        <f t="shared" si="4"/>
        <v>39.077480379219615</v>
      </c>
      <c r="O21" s="11"/>
      <c r="P21" s="19">
        <f t="shared" si="12"/>
        <v>0.13999999999999999</v>
      </c>
      <c r="Q21" s="20">
        <f t="shared" si="5"/>
        <v>34.86</v>
      </c>
      <c r="S21" s="17">
        <f t="shared" si="7"/>
        <v>58</v>
      </c>
      <c r="T21" s="18">
        <f t="shared" si="8"/>
        <v>14.444444444444445</v>
      </c>
    </row>
    <row r="22" spans="1:20" x14ac:dyDescent="0.2">
      <c r="A22" s="11"/>
      <c r="B22" s="12">
        <f t="shared" si="6"/>
        <v>9000</v>
      </c>
      <c r="C22" s="13">
        <f t="shared" si="0"/>
        <v>15291.187974477241</v>
      </c>
      <c r="D22" s="14">
        <f t="shared" si="1"/>
        <v>4.2475522151325666</v>
      </c>
      <c r="E22" s="11"/>
      <c r="F22" s="12">
        <f t="shared" si="9"/>
        <v>750</v>
      </c>
      <c r="G22" s="15">
        <f t="shared" si="2"/>
        <v>3.810007542595732</v>
      </c>
      <c r="H22" s="11"/>
      <c r="I22" s="12">
        <f>I21+50</f>
        <v>350</v>
      </c>
      <c r="J22" s="16">
        <f t="shared" si="3"/>
        <v>106.68021119268049</v>
      </c>
      <c r="L22" s="17">
        <f t="shared" si="11"/>
        <v>24</v>
      </c>
      <c r="M22" s="184"/>
      <c r="N22" s="18">
        <f t="shared" si="4"/>
        <v>40.77650126527265</v>
      </c>
      <c r="O22" s="11"/>
      <c r="P22" s="19">
        <f t="shared" si="12"/>
        <v>0.15</v>
      </c>
      <c r="Q22" s="20">
        <f t="shared" si="5"/>
        <v>37.35</v>
      </c>
      <c r="S22" s="17">
        <f t="shared" si="7"/>
        <v>60</v>
      </c>
      <c r="T22" s="18">
        <f t="shared" si="8"/>
        <v>15.555555555555555</v>
      </c>
    </row>
    <row r="23" spans="1:20" x14ac:dyDescent="0.2">
      <c r="A23" s="11"/>
      <c r="B23" s="12">
        <f t="shared" si="6"/>
        <v>9500</v>
      </c>
      <c r="C23" s="13">
        <f t="shared" si="0"/>
        <v>16140.698417503754</v>
      </c>
      <c r="D23" s="14">
        <f t="shared" si="1"/>
        <v>4.4835273381954872</v>
      </c>
      <c r="E23" s="11"/>
      <c r="F23" s="12">
        <f t="shared" si="9"/>
        <v>800</v>
      </c>
      <c r="G23" s="15">
        <f t="shared" si="2"/>
        <v>4.0640080454354468</v>
      </c>
      <c r="H23" s="11"/>
      <c r="I23" s="12">
        <f t="shared" ref="I23:I29" si="13">I22+50</f>
        <v>400</v>
      </c>
      <c r="J23" s="16">
        <f t="shared" si="3"/>
        <v>121.92024136306341</v>
      </c>
      <c r="L23" s="17">
        <f t="shared" si="11"/>
        <v>25</v>
      </c>
      <c r="M23" s="184"/>
      <c r="N23" s="18">
        <f t="shared" si="4"/>
        <v>42.475522151325677</v>
      </c>
      <c r="O23" s="11"/>
      <c r="P23" s="19">
        <f t="shared" si="12"/>
        <v>0.16</v>
      </c>
      <c r="Q23" s="20">
        <f t="shared" si="5"/>
        <v>39.840000000000003</v>
      </c>
      <c r="S23" s="17">
        <f t="shared" si="7"/>
        <v>62</v>
      </c>
      <c r="T23" s="18">
        <f t="shared" si="8"/>
        <v>16.666666666666668</v>
      </c>
    </row>
    <row r="24" spans="1:20" x14ac:dyDescent="0.2">
      <c r="A24" s="11"/>
      <c r="B24" s="12">
        <f t="shared" si="6"/>
        <v>10000</v>
      </c>
      <c r="C24" s="13">
        <f t="shared" si="0"/>
        <v>16990.208860530271</v>
      </c>
      <c r="D24" s="14">
        <f t="shared" si="1"/>
        <v>4.7195024612584087</v>
      </c>
      <c r="E24" s="11"/>
      <c r="F24" s="12">
        <f t="shared" si="9"/>
        <v>850</v>
      </c>
      <c r="G24" s="15">
        <f t="shared" si="2"/>
        <v>4.3180085482751629</v>
      </c>
      <c r="H24" s="11"/>
      <c r="I24" s="12">
        <f>I23+50</f>
        <v>450</v>
      </c>
      <c r="J24" s="16">
        <f t="shared" si="3"/>
        <v>137.16027153344635</v>
      </c>
      <c r="L24" s="17">
        <f t="shared" si="11"/>
        <v>26</v>
      </c>
      <c r="M24" s="184"/>
      <c r="N24" s="18">
        <f t="shared" si="4"/>
        <v>44.174543037378704</v>
      </c>
      <c r="O24" s="11"/>
      <c r="P24" s="19">
        <f t="shared" si="12"/>
        <v>0.17</v>
      </c>
      <c r="Q24" s="20">
        <f t="shared" si="5"/>
        <v>42.330000000000005</v>
      </c>
      <c r="S24" s="17">
        <f t="shared" si="7"/>
        <v>64</v>
      </c>
      <c r="T24" s="18">
        <f t="shared" si="8"/>
        <v>17.777777777777779</v>
      </c>
    </row>
    <row r="25" spans="1:20" ht="13.5" thickBot="1" x14ac:dyDescent="0.25">
      <c r="A25" s="11"/>
      <c r="B25" s="12">
        <f t="shared" si="6"/>
        <v>10500</v>
      </c>
      <c r="C25" s="13">
        <f t="shared" si="0"/>
        <v>17839.719303556783</v>
      </c>
      <c r="D25" s="14">
        <f t="shared" si="1"/>
        <v>4.9554775843213283</v>
      </c>
      <c r="E25" s="11"/>
      <c r="F25" s="22">
        <f t="shared" si="9"/>
        <v>900</v>
      </c>
      <c r="G25" s="23">
        <f t="shared" si="2"/>
        <v>4.5720090511148781</v>
      </c>
      <c r="H25" s="11"/>
      <c r="I25" s="12">
        <f t="shared" si="13"/>
        <v>500</v>
      </c>
      <c r="J25" s="16">
        <f t="shared" si="3"/>
        <v>152.40030170382929</v>
      </c>
      <c r="L25" s="17">
        <f t="shared" si="11"/>
        <v>27</v>
      </c>
      <c r="M25" s="184"/>
      <c r="N25" s="18">
        <f t="shared" si="4"/>
        <v>45.873563923431732</v>
      </c>
      <c r="O25" s="11"/>
      <c r="P25" s="19">
        <f t="shared" si="12"/>
        <v>0.18000000000000002</v>
      </c>
      <c r="Q25" s="20">
        <f t="shared" si="5"/>
        <v>44.820000000000007</v>
      </c>
      <c r="S25" s="17">
        <f t="shared" si="7"/>
        <v>66</v>
      </c>
      <c r="T25" s="18">
        <f t="shared" si="8"/>
        <v>18.888888888888889</v>
      </c>
    </row>
    <row r="26" spans="1:20" x14ac:dyDescent="0.2">
      <c r="A26" s="11"/>
      <c r="B26" s="12">
        <f t="shared" si="6"/>
        <v>11000</v>
      </c>
      <c r="C26" s="13">
        <f t="shared" si="0"/>
        <v>18689.229746583296</v>
      </c>
      <c r="D26" s="14">
        <f t="shared" si="1"/>
        <v>5.1914527073842489</v>
      </c>
      <c r="E26" s="11"/>
      <c r="F26" s="11"/>
      <c r="G26" s="11"/>
      <c r="H26" s="11"/>
      <c r="I26" s="12">
        <f t="shared" si="13"/>
        <v>550</v>
      </c>
      <c r="J26" s="16">
        <f t="shared" si="3"/>
        <v>167.64033187421219</v>
      </c>
      <c r="L26" s="17">
        <f t="shared" si="11"/>
        <v>28</v>
      </c>
      <c r="M26" s="184"/>
      <c r="N26" s="18">
        <f t="shared" si="4"/>
        <v>47.572584809484752</v>
      </c>
      <c r="O26" s="11"/>
      <c r="P26" s="19">
        <f t="shared" si="12"/>
        <v>0.19000000000000003</v>
      </c>
      <c r="Q26" s="20">
        <f t="shared" si="5"/>
        <v>47.310000000000009</v>
      </c>
      <c r="S26" s="17">
        <f t="shared" si="7"/>
        <v>68</v>
      </c>
      <c r="T26" s="18">
        <f t="shared" si="8"/>
        <v>20</v>
      </c>
    </row>
    <row r="27" spans="1:20" x14ac:dyDescent="0.2">
      <c r="A27" s="11"/>
      <c r="B27" s="12">
        <f t="shared" si="6"/>
        <v>11500</v>
      </c>
      <c r="C27" s="13">
        <f t="shared" si="0"/>
        <v>19538.740189609809</v>
      </c>
      <c r="D27" s="14">
        <f t="shared" si="1"/>
        <v>5.4274278304471695</v>
      </c>
      <c r="E27" s="11"/>
      <c r="H27" s="11"/>
      <c r="I27" s="12">
        <f t="shared" si="13"/>
        <v>600</v>
      </c>
      <c r="J27" s="16">
        <f t="shared" si="3"/>
        <v>182.88036204459513</v>
      </c>
      <c r="L27" s="17">
        <f t="shared" si="11"/>
        <v>29</v>
      </c>
      <c r="M27" s="184"/>
      <c r="N27" s="18">
        <f t="shared" si="4"/>
        <v>49.271605695537779</v>
      </c>
      <c r="O27" s="11"/>
      <c r="P27" s="19">
        <f t="shared" si="12"/>
        <v>0.20000000000000004</v>
      </c>
      <c r="Q27" s="20">
        <f t="shared" si="5"/>
        <v>49.800000000000011</v>
      </c>
      <c r="S27" s="17">
        <f t="shared" si="7"/>
        <v>70</v>
      </c>
      <c r="T27" s="18">
        <f t="shared" si="8"/>
        <v>21.111111111111111</v>
      </c>
    </row>
    <row r="28" spans="1:20" ht="13.5" thickBot="1" x14ac:dyDescent="0.25">
      <c r="A28" s="11"/>
      <c r="B28" s="12">
        <f t="shared" si="6"/>
        <v>12000</v>
      </c>
      <c r="C28" s="13">
        <f t="shared" si="0"/>
        <v>20388.250632636322</v>
      </c>
      <c r="D28" s="14">
        <f t="shared" si="1"/>
        <v>5.6634029535100892</v>
      </c>
      <c r="E28" s="11"/>
      <c r="I28" s="12">
        <f t="shared" si="13"/>
        <v>650</v>
      </c>
      <c r="J28" s="16">
        <f t="shared" si="3"/>
        <v>198.12039221497804</v>
      </c>
      <c r="L28" s="24">
        <f t="shared" si="11"/>
        <v>30</v>
      </c>
      <c r="M28" s="185"/>
      <c r="N28" s="25">
        <f t="shared" si="4"/>
        <v>50.970626581590807</v>
      </c>
      <c r="O28" s="11"/>
      <c r="P28" s="19">
        <f t="shared" si="12"/>
        <v>0.21000000000000005</v>
      </c>
      <c r="Q28" s="20">
        <f t="shared" si="5"/>
        <v>52.290000000000013</v>
      </c>
      <c r="S28" s="17">
        <f t="shared" si="7"/>
        <v>72</v>
      </c>
      <c r="T28" s="18">
        <f t="shared" si="8"/>
        <v>22.222222222222221</v>
      </c>
    </row>
    <row r="29" spans="1:20" ht="13.5" thickBot="1" x14ac:dyDescent="0.25">
      <c r="A29" s="11"/>
      <c r="B29" s="12">
        <f t="shared" si="6"/>
        <v>12500</v>
      </c>
      <c r="C29" s="13">
        <f t="shared" si="0"/>
        <v>21237.761075662838</v>
      </c>
      <c r="D29" s="14">
        <f t="shared" si="1"/>
        <v>5.8993780765730106</v>
      </c>
      <c r="E29" s="11"/>
      <c r="H29" s="11"/>
      <c r="I29" s="12">
        <f t="shared" si="13"/>
        <v>700</v>
      </c>
      <c r="J29" s="16">
        <f t="shared" si="3"/>
        <v>213.36042238536098</v>
      </c>
      <c r="L29" s="26"/>
      <c r="M29" s="26"/>
      <c r="N29" s="27"/>
      <c r="O29" s="11"/>
      <c r="P29" s="19">
        <f t="shared" si="12"/>
        <v>0.22000000000000006</v>
      </c>
      <c r="Q29" s="20">
        <f t="shared" si="5"/>
        <v>54.780000000000015</v>
      </c>
      <c r="S29" s="17">
        <f t="shared" si="7"/>
        <v>74</v>
      </c>
      <c r="T29" s="18">
        <f t="shared" si="8"/>
        <v>23.333333333333336</v>
      </c>
    </row>
    <row r="30" spans="1:20" ht="23.25" customHeight="1" thickBot="1" x14ac:dyDescent="0.3">
      <c r="A30" s="11"/>
      <c r="B30" s="12">
        <f>B29+500</f>
        <v>13000</v>
      </c>
      <c r="C30" s="13">
        <f t="shared" si="0"/>
        <v>22087.271518689347</v>
      </c>
      <c r="D30" s="14">
        <f t="shared" si="1"/>
        <v>6.1353531996359294</v>
      </c>
      <c r="E30" s="11"/>
      <c r="H30" s="11"/>
      <c r="I30" s="22">
        <f>I29+50</f>
        <v>750</v>
      </c>
      <c r="J30" s="28">
        <f t="shared" si="3"/>
        <v>228.60045255574391</v>
      </c>
      <c r="L30" s="635" t="s">
        <v>5</v>
      </c>
      <c r="M30" s="636"/>
      <c r="N30" s="637"/>
      <c r="O30" s="11"/>
      <c r="P30" s="19">
        <f>P29+0.01</f>
        <v>0.23000000000000007</v>
      </c>
      <c r="Q30" s="20">
        <f t="shared" si="5"/>
        <v>57.270000000000017</v>
      </c>
      <c r="S30" s="17">
        <f>S29+2</f>
        <v>76</v>
      </c>
      <c r="T30" s="18">
        <f t="shared" si="8"/>
        <v>24.444444444444446</v>
      </c>
    </row>
    <row r="31" spans="1:20" ht="4.5" customHeight="1" thickBot="1" x14ac:dyDescent="0.3">
      <c r="A31" s="11"/>
      <c r="B31" s="12"/>
      <c r="C31" s="13"/>
      <c r="D31" s="14"/>
      <c r="E31" s="11"/>
      <c r="H31" s="11"/>
      <c r="I31" s="181"/>
      <c r="J31" s="38"/>
      <c r="L31" s="182"/>
      <c r="M31" s="186"/>
      <c r="N31" s="183"/>
      <c r="O31" s="11"/>
      <c r="P31" s="19"/>
      <c r="Q31" s="20"/>
      <c r="S31" s="17"/>
      <c r="T31" s="18"/>
    </row>
    <row r="32" spans="1:20" ht="15" customHeight="1" thickTop="1" x14ac:dyDescent="0.2">
      <c r="A32" s="11"/>
      <c r="B32" s="12">
        <f>B30+500</f>
        <v>13500</v>
      </c>
      <c r="C32" s="13">
        <f t="shared" si="0"/>
        <v>22936.781961715864</v>
      </c>
      <c r="D32" s="14">
        <f t="shared" si="1"/>
        <v>6.3713283226988509</v>
      </c>
      <c r="E32" s="11"/>
      <c r="H32" s="11"/>
      <c r="L32" s="179" t="s">
        <v>99</v>
      </c>
      <c r="M32" s="187"/>
      <c r="N32" s="180" t="s">
        <v>100</v>
      </c>
      <c r="O32" s="11"/>
      <c r="P32" s="19">
        <f>P30+0.01</f>
        <v>0.24000000000000007</v>
      </c>
      <c r="Q32" s="20">
        <f t="shared" si="5"/>
        <v>59.760000000000019</v>
      </c>
      <c r="S32" s="17">
        <f>S30+2</f>
        <v>78</v>
      </c>
      <c r="T32" s="18">
        <f t="shared" si="8"/>
        <v>25.555555555555554</v>
      </c>
    </row>
    <row r="33" spans="1:20" x14ac:dyDescent="0.2">
      <c r="A33" s="11"/>
      <c r="B33" s="12">
        <f t="shared" si="6"/>
        <v>14000</v>
      </c>
      <c r="C33" s="13">
        <f t="shared" si="0"/>
        <v>23786.292404742377</v>
      </c>
      <c r="D33" s="14">
        <f t="shared" si="1"/>
        <v>6.6073034457617714</v>
      </c>
      <c r="E33" s="11"/>
      <c r="H33" s="11"/>
      <c r="L33" s="389">
        <v>1</v>
      </c>
      <c r="M33" s="190"/>
      <c r="N33" s="392">
        <f>1/(L33/(3.2808334)^3*60)</f>
        <v>0.5885742831114259</v>
      </c>
      <c r="O33" s="11"/>
      <c r="P33" s="19">
        <f t="shared" si="12"/>
        <v>0.25000000000000006</v>
      </c>
      <c r="Q33" s="20">
        <f t="shared" si="5"/>
        <v>62.250000000000014</v>
      </c>
      <c r="S33" s="17">
        <f t="shared" si="7"/>
        <v>80</v>
      </c>
      <c r="T33" s="18">
        <f t="shared" si="8"/>
        <v>26.666666666666664</v>
      </c>
    </row>
    <row r="34" spans="1:20" x14ac:dyDescent="0.2">
      <c r="A34" s="11"/>
      <c r="B34" s="12">
        <f t="shared" si="6"/>
        <v>14500</v>
      </c>
      <c r="C34" s="13">
        <f t="shared" si="0"/>
        <v>24635.802847768889</v>
      </c>
      <c r="D34" s="14">
        <f t="shared" si="1"/>
        <v>6.8432785688246911</v>
      </c>
      <c r="E34" s="11"/>
      <c r="H34" s="11"/>
      <c r="L34" s="29">
        <f t="shared" ref="L34:L54" si="14">1/L8</f>
        <v>0.1</v>
      </c>
      <c r="M34" s="188"/>
      <c r="N34" s="30">
        <f t="shared" ref="N34:N54" si="15">1/(N8)</f>
        <v>5.8857428311142601E-2</v>
      </c>
      <c r="O34" s="11"/>
      <c r="P34" s="19">
        <f t="shared" si="12"/>
        <v>0.26000000000000006</v>
      </c>
      <c r="Q34" s="20">
        <f t="shared" si="5"/>
        <v>64.740000000000009</v>
      </c>
      <c r="S34" s="17">
        <f t="shared" si="7"/>
        <v>82</v>
      </c>
      <c r="T34" s="18">
        <f t="shared" si="8"/>
        <v>27.777777777777779</v>
      </c>
    </row>
    <row r="35" spans="1:20" x14ac:dyDescent="0.2">
      <c r="A35" s="11"/>
      <c r="B35" s="12">
        <f t="shared" si="6"/>
        <v>15000</v>
      </c>
      <c r="C35" s="13">
        <f t="shared" si="0"/>
        <v>25485.313290795406</v>
      </c>
      <c r="D35" s="14">
        <f t="shared" si="1"/>
        <v>7.0792536918876126</v>
      </c>
      <c r="E35" s="11"/>
      <c r="H35" s="11"/>
      <c r="L35" s="29">
        <f t="shared" si="14"/>
        <v>9.0909090909090912E-2</v>
      </c>
      <c r="M35" s="188"/>
      <c r="N35" s="30">
        <f t="shared" si="15"/>
        <v>5.3506753010129637E-2</v>
      </c>
      <c r="O35" s="11"/>
      <c r="P35" s="19">
        <f t="shared" si="12"/>
        <v>0.27000000000000007</v>
      </c>
      <c r="Q35" s="20">
        <f t="shared" si="5"/>
        <v>67.230000000000018</v>
      </c>
      <c r="S35" s="17">
        <f t="shared" si="7"/>
        <v>84</v>
      </c>
      <c r="T35" s="18">
        <f t="shared" si="8"/>
        <v>28.888888888888889</v>
      </c>
    </row>
    <row r="36" spans="1:20" x14ac:dyDescent="0.2">
      <c r="A36" s="11"/>
      <c r="B36" s="12">
        <f t="shared" si="6"/>
        <v>15500</v>
      </c>
      <c r="C36" s="13">
        <f t="shared" si="0"/>
        <v>26334.823733821915</v>
      </c>
      <c r="D36" s="14">
        <f t="shared" si="1"/>
        <v>7.3152288149505322</v>
      </c>
      <c r="E36" s="11"/>
      <c r="H36" s="11"/>
      <c r="L36" s="29">
        <f t="shared" si="14"/>
        <v>8.3333333333333329E-2</v>
      </c>
      <c r="M36" s="188"/>
      <c r="N36" s="30">
        <f t="shared" si="15"/>
        <v>4.9047856925952156E-2</v>
      </c>
      <c r="O36" s="11"/>
      <c r="P36" s="19">
        <f t="shared" si="12"/>
        <v>0.28000000000000008</v>
      </c>
      <c r="Q36" s="20">
        <f t="shared" si="5"/>
        <v>69.720000000000027</v>
      </c>
      <c r="S36" s="17">
        <f t="shared" si="7"/>
        <v>86</v>
      </c>
      <c r="T36" s="18">
        <f t="shared" si="8"/>
        <v>30</v>
      </c>
    </row>
    <row r="37" spans="1:20" x14ac:dyDescent="0.2">
      <c r="A37" s="11"/>
      <c r="B37" s="12">
        <f t="shared" si="6"/>
        <v>16000</v>
      </c>
      <c r="C37" s="13">
        <f t="shared" si="0"/>
        <v>27184.334176848428</v>
      </c>
      <c r="D37" s="14">
        <f t="shared" si="1"/>
        <v>7.5512039380134519</v>
      </c>
      <c r="E37" s="11"/>
      <c r="H37" s="11"/>
      <c r="L37" s="29">
        <f t="shared" si="14"/>
        <v>7.6923076923076927E-2</v>
      </c>
      <c r="M37" s="188"/>
      <c r="N37" s="30">
        <f t="shared" si="15"/>
        <v>4.5274944854725066E-2</v>
      </c>
      <c r="O37" s="11"/>
      <c r="P37" s="19">
        <f t="shared" si="12"/>
        <v>0.29000000000000009</v>
      </c>
      <c r="Q37" s="20">
        <f t="shared" si="5"/>
        <v>72.210000000000022</v>
      </c>
      <c r="S37" s="17">
        <f t="shared" si="7"/>
        <v>88</v>
      </c>
      <c r="T37" s="18">
        <f t="shared" si="8"/>
        <v>31.111111111111111</v>
      </c>
    </row>
    <row r="38" spans="1:20" ht="13.5" thickBot="1" x14ac:dyDescent="0.25">
      <c r="A38" s="11"/>
      <c r="B38" s="12">
        <f t="shared" si="6"/>
        <v>16500</v>
      </c>
      <c r="C38" s="13">
        <f t="shared" si="0"/>
        <v>28033.844619874944</v>
      </c>
      <c r="D38" s="14">
        <f t="shared" si="1"/>
        <v>7.7871790610763734</v>
      </c>
      <c r="E38" s="11"/>
      <c r="H38" s="11"/>
      <c r="L38" s="29">
        <f t="shared" si="14"/>
        <v>7.1428571428571425E-2</v>
      </c>
      <c r="M38" s="188"/>
      <c r="N38" s="30">
        <f t="shared" si="15"/>
        <v>4.2041020222244714E-2</v>
      </c>
      <c r="O38" s="11"/>
      <c r="P38" s="31">
        <f t="shared" si="12"/>
        <v>0.3000000000000001</v>
      </c>
      <c r="Q38" s="32">
        <f t="shared" si="5"/>
        <v>74.700000000000031</v>
      </c>
      <c r="S38" s="17">
        <f t="shared" si="7"/>
        <v>90</v>
      </c>
      <c r="T38" s="18">
        <f t="shared" si="8"/>
        <v>32.222222222222221</v>
      </c>
    </row>
    <row r="39" spans="1:20" x14ac:dyDescent="0.2">
      <c r="A39" s="11"/>
      <c r="B39" s="12">
        <f t="shared" si="6"/>
        <v>17000</v>
      </c>
      <c r="C39" s="13">
        <f t="shared" si="0"/>
        <v>28883.355062901457</v>
      </c>
      <c r="D39" s="14">
        <f t="shared" si="1"/>
        <v>8.0231541841392939</v>
      </c>
      <c r="E39" s="11"/>
      <c r="H39" s="11"/>
      <c r="L39" s="29">
        <f t="shared" si="14"/>
        <v>6.6666666666666666E-2</v>
      </c>
      <c r="M39" s="188"/>
      <c r="N39" s="30">
        <f t="shared" si="15"/>
        <v>3.9238285540761732E-2</v>
      </c>
      <c r="O39" s="11"/>
      <c r="S39" s="17">
        <f t="shared" si="7"/>
        <v>92</v>
      </c>
      <c r="T39" s="18">
        <f t="shared" si="8"/>
        <v>33.333333333333336</v>
      </c>
    </row>
    <row r="40" spans="1:20" x14ac:dyDescent="0.2">
      <c r="A40" s="11"/>
      <c r="B40" s="12">
        <f t="shared" si="6"/>
        <v>17500</v>
      </c>
      <c r="C40" s="13">
        <f t="shared" si="0"/>
        <v>29732.865505927974</v>
      </c>
      <c r="D40" s="14">
        <f t="shared" si="1"/>
        <v>8.2591293072022154</v>
      </c>
      <c r="E40" s="11"/>
      <c r="H40" s="11"/>
      <c r="L40" s="29">
        <f t="shared" si="14"/>
        <v>6.25E-2</v>
      </c>
      <c r="M40" s="188"/>
      <c r="N40" s="30">
        <f t="shared" si="15"/>
        <v>3.6785892694464119E-2</v>
      </c>
      <c r="O40" s="11"/>
      <c r="S40" s="17">
        <f t="shared" si="7"/>
        <v>94</v>
      </c>
      <c r="T40" s="18">
        <f t="shared" si="8"/>
        <v>34.444444444444443</v>
      </c>
    </row>
    <row r="41" spans="1:20" x14ac:dyDescent="0.2">
      <c r="A41" s="11"/>
      <c r="B41" s="12">
        <f t="shared" si="6"/>
        <v>18000</v>
      </c>
      <c r="C41" s="13">
        <f t="shared" si="0"/>
        <v>30582.375948954483</v>
      </c>
      <c r="D41" s="14">
        <f t="shared" si="1"/>
        <v>8.4951044302651333</v>
      </c>
      <c r="E41" s="11"/>
      <c r="H41" s="11"/>
      <c r="L41" s="29">
        <f t="shared" si="14"/>
        <v>5.8823529411764705E-2</v>
      </c>
      <c r="M41" s="188"/>
      <c r="N41" s="30">
        <f t="shared" si="15"/>
        <v>3.4622016653613287E-2</v>
      </c>
      <c r="O41" s="11"/>
      <c r="S41" s="17">
        <f t="shared" si="7"/>
        <v>96</v>
      </c>
      <c r="T41" s="18">
        <f t="shared" si="8"/>
        <v>35.555555555555557</v>
      </c>
    </row>
    <row r="42" spans="1:20" x14ac:dyDescent="0.2">
      <c r="A42" s="11"/>
      <c r="B42" s="12">
        <f t="shared" si="6"/>
        <v>18500</v>
      </c>
      <c r="C42" s="13">
        <f t="shared" si="0"/>
        <v>31431.886391980999</v>
      </c>
      <c r="D42" s="14">
        <f t="shared" si="1"/>
        <v>8.7310795533280547</v>
      </c>
      <c r="E42" s="11"/>
      <c r="H42" s="11"/>
      <c r="L42" s="29">
        <f t="shared" si="14"/>
        <v>5.5555555555555552E-2</v>
      </c>
      <c r="M42" s="188"/>
      <c r="N42" s="30">
        <f t="shared" si="15"/>
        <v>3.2698571283968109E-2</v>
      </c>
      <c r="O42" s="11"/>
      <c r="S42" s="17">
        <f t="shared" si="7"/>
        <v>98</v>
      </c>
      <c r="T42" s="18">
        <f t="shared" si="8"/>
        <v>36.666666666666664</v>
      </c>
    </row>
    <row r="43" spans="1:20" x14ac:dyDescent="0.2">
      <c r="A43" s="11"/>
      <c r="B43" s="12">
        <f t="shared" si="6"/>
        <v>19000</v>
      </c>
      <c r="C43" s="13">
        <f t="shared" si="0"/>
        <v>32281.396835007508</v>
      </c>
      <c r="D43" s="14">
        <f t="shared" si="1"/>
        <v>8.9670546763909744</v>
      </c>
      <c r="E43" s="11"/>
      <c r="H43" s="11"/>
      <c r="L43" s="29">
        <f t="shared" si="14"/>
        <v>5.2631578947368418E-2</v>
      </c>
      <c r="M43" s="188"/>
      <c r="N43" s="30">
        <f t="shared" si="15"/>
        <v>3.0977593847969786E-2</v>
      </c>
      <c r="O43" s="11"/>
      <c r="S43" s="17">
        <f t="shared" si="7"/>
        <v>100</v>
      </c>
      <c r="T43" s="18">
        <f t="shared" si="8"/>
        <v>37.777777777777779</v>
      </c>
    </row>
    <row r="44" spans="1:20" x14ac:dyDescent="0.2">
      <c r="A44" s="11"/>
      <c r="B44" s="12">
        <f t="shared" si="6"/>
        <v>19500</v>
      </c>
      <c r="C44" s="13">
        <f t="shared" si="0"/>
        <v>33130.907278034021</v>
      </c>
      <c r="D44" s="14">
        <f t="shared" si="1"/>
        <v>9.2030297994538941</v>
      </c>
      <c r="E44" s="11"/>
      <c r="H44" s="11"/>
      <c r="L44" s="29">
        <f t="shared" si="14"/>
        <v>0.05</v>
      </c>
      <c r="M44" s="188"/>
      <c r="N44" s="30">
        <f t="shared" si="15"/>
        <v>2.9428714155571301E-2</v>
      </c>
      <c r="O44" s="11"/>
      <c r="S44" s="17">
        <f t="shared" si="7"/>
        <v>102</v>
      </c>
      <c r="T44" s="18">
        <f t="shared" si="8"/>
        <v>38.888888888888886</v>
      </c>
    </row>
    <row r="45" spans="1:20" x14ac:dyDescent="0.2">
      <c r="A45" s="11"/>
      <c r="B45" s="12">
        <f t="shared" si="6"/>
        <v>20000</v>
      </c>
      <c r="C45" s="13">
        <f t="shared" si="0"/>
        <v>33980.417721060541</v>
      </c>
      <c r="D45" s="14">
        <f t="shared" si="1"/>
        <v>9.4390049225168173</v>
      </c>
      <c r="E45" s="11"/>
      <c r="H45" s="11"/>
      <c r="L45" s="29">
        <f t="shared" si="14"/>
        <v>4.7619047619047616E-2</v>
      </c>
      <c r="M45" s="188"/>
      <c r="N45" s="30">
        <f t="shared" si="15"/>
        <v>2.8027346814829809E-2</v>
      </c>
      <c r="O45" s="11"/>
      <c r="S45" s="17">
        <f t="shared" si="7"/>
        <v>104</v>
      </c>
      <c r="T45" s="18">
        <f t="shared" si="8"/>
        <v>40</v>
      </c>
    </row>
    <row r="46" spans="1:20" x14ac:dyDescent="0.2">
      <c r="A46" s="11"/>
      <c r="B46" s="12">
        <f t="shared" si="6"/>
        <v>20500</v>
      </c>
      <c r="C46" s="13">
        <f t="shared" si="0"/>
        <v>34829.928164087047</v>
      </c>
      <c r="D46" s="14">
        <f t="shared" si="1"/>
        <v>9.6749800455797352</v>
      </c>
      <c r="E46" s="11"/>
      <c r="H46" s="11"/>
      <c r="L46" s="29">
        <f t="shared" si="14"/>
        <v>4.5454545454545456E-2</v>
      </c>
      <c r="M46" s="188"/>
      <c r="N46" s="30">
        <f t="shared" si="15"/>
        <v>2.6753376505064819E-2</v>
      </c>
      <c r="O46" s="11"/>
      <c r="S46" s="17">
        <f t="shared" si="7"/>
        <v>106</v>
      </c>
      <c r="T46" s="18">
        <f t="shared" si="8"/>
        <v>41.111111111111107</v>
      </c>
    </row>
    <row r="47" spans="1:20" ht="13.5" thickBot="1" x14ac:dyDescent="0.25">
      <c r="A47" s="11"/>
      <c r="B47" s="12">
        <f t="shared" si="6"/>
        <v>21000</v>
      </c>
      <c r="C47" s="13">
        <f t="shared" si="0"/>
        <v>35679.438607113567</v>
      </c>
      <c r="D47" s="14">
        <f t="shared" si="1"/>
        <v>9.9109551686426567</v>
      </c>
      <c r="E47" s="11"/>
      <c r="H47" s="11"/>
      <c r="L47" s="29">
        <f t="shared" si="14"/>
        <v>4.3478260869565216E-2</v>
      </c>
      <c r="M47" s="188"/>
      <c r="N47" s="30">
        <f t="shared" si="15"/>
        <v>2.5590186222235911E-2</v>
      </c>
      <c r="O47" s="11"/>
      <c r="S47" s="24">
        <f t="shared" si="7"/>
        <v>108</v>
      </c>
      <c r="T47" s="25">
        <f t="shared" si="8"/>
        <v>42.222222222222221</v>
      </c>
    </row>
    <row r="48" spans="1:20" x14ac:dyDescent="0.2">
      <c r="A48" s="11"/>
      <c r="B48" s="12"/>
      <c r="C48" s="13"/>
      <c r="D48" s="14"/>
      <c r="E48" s="11"/>
      <c r="H48" s="11"/>
      <c r="L48" s="29">
        <f t="shared" si="14"/>
        <v>4.1666666666666664E-2</v>
      </c>
      <c r="M48" s="188"/>
      <c r="N48" s="30">
        <f t="shared" si="15"/>
        <v>2.4523928462976078E-2</v>
      </c>
      <c r="O48" s="11"/>
      <c r="S48" s="26"/>
      <c r="T48" s="27"/>
    </row>
    <row r="49" spans="1:20" x14ac:dyDescent="0.2">
      <c r="A49" s="11"/>
      <c r="B49" s="12">
        <v>50000</v>
      </c>
      <c r="C49" s="13">
        <f t="shared" ref="C49:C54" si="16">B49/(3.2808334)^3*60</f>
        <v>84951.044302651353</v>
      </c>
      <c r="D49" s="14">
        <f t="shared" ref="D49:D54" si="17">C49/3600</f>
        <v>23.597512306292042</v>
      </c>
      <c r="E49" s="11"/>
      <c r="H49" s="11"/>
      <c r="L49" s="29">
        <f t="shared" si="14"/>
        <v>0.04</v>
      </c>
      <c r="M49" s="188"/>
      <c r="N49" s="30">
        <f t="shared" si="15"/>
        <v>2.3542971324457033E-2</v>
      </c>
      <c r="O49" s="11"/>
      <c r="S49" s="26"/>
      <c r="T49" s="27"/>
    </row>
    <row r="50" spans="1:20" x14ac:dyDescent="0.2">
      <c r="A50" s="11"/>
      <c r="B50" s="12">
        <f>B49+50000</f>
        <v>100000</v>
      </c>
      <c r="C50" s="13">
        <f t="shared" si="16"/>
        <v>169902.08860530271</v>
      </c>
      <c r="D50" s="14">
        <f t="shared" si="17"/>
        <v>47.195024612584085</v>
      </c>
      <c r="E50" s="11"/>
      <c r="H50" s="11"/>
      <c r="L50" s="29">
        <f t="shared" si="14"/>
        <v>3.8461538461538464E-2</v>
      </c>
      <c r="M50" s="188"/>
      <c r="N50" s="30">
        <f t="shared" si="15"/>
        <v>2.2637472427362533E-2</v>
      </c>
      <c r="O50" s="11"/>
      <c r="S50" s="26"/>
      <c r="T50" s="27"/>
    </row>
    <row r="51" spans="1:20" x14ac:dyDescent="0.2">
      <c r="A51" s="11"/>
      <c r="B51" s="12">
        <f>B50+50000</f>
        <v>150000</v>
      </c>
      <c r="C51" s="13">
        <f t="shared" si="16"/>
        <v>254853.13290795404</v>
      </c>
      <c r="D51" s="14">
        <f t="shared" si="17"/>
        <v>70.792536918876124</v>
      </c>
      <c r="E51" s="11"/>
      <c r="H51" s="11"/>
      <c r="L51" s="29">
        <f t="shared" si="14"/>
        <v>3.7037037037037035E-2</v>
      </c>
      <c r="M51" s="188"/>
      <c r="N51" s="30">
        <f t="shared" si="15"/>
        <v>2.1799047522645401E-2</v>
      </c>
      <c r="O51" s="11"/>
      <c r="S51" s="26"/>
      <c r="T51" s="11"/>
    </row>
    <row r="52" spans="1:20" x14ac:dyDescent="0.2">
      <c r="A52" s="11"/>
      <c r="B52" s="12">
        <f>B51+50000</f>
        <v>200000</v>
      </c>
      <c r="C52" s="13">
        <f t="shared" si="16"/>
        <v>339804.17721060541</v>
      </c>
      <c r="D52" s="14">
        <f t="shared" si="17"/>
        <v>94.39004922516817</v>
      </c>
      <c r="E52" s="11"/>
      <c r="H52" s="11"/>
      <c r="L52" s="29">
        <f t="shared" si="14"/>
        <v>3.5714285714285712E-2</v>
      </c>
      <c r="M52" s="188"/>
      <c r="N52" s="30">
        <f t="shared" si="15"/>
        <v>2.1020510111122357E-2</v>
      </c>
      <c r="O52" s="11"/>
      <c r="S52" s="26"/>
      <c r="T52" s="11"/>
    </row>
    <row r="53" spans="1:20" x14ac:dyDescent="0.2">
      <c r="A53" s="11"/>
      <c r="B53" s="12">
        <f>B52+50000</f>
        <v>250000</v>
      </c>
      <c r="C53" s="13">
        <f t="shared" si="16"/>
        <v>424755.22151325672</v>
      </c>
      <c r="D53" s="14">
        <f t="shared" si="17"/>
        <v>117.9875615314602</v>
      </c>
      <c r="E53" s="11"/>
      <c r="H53" s="11"/>
      <c r="L53" s="29">
        <f t="shared" si="14"/>
        <v>3.4482758620689655E-2</v>
      </c>
      <c r="M53" s="188"/>
      <c r="N53" s="30">
        <f t="shared" si="15"/>
        <v>2.0295664934876757E-2</v>
      </c>
      <c r="O53" s="11"/>
      <c r="S53" s="11"/>
      <c r="T53" s="11"/>
    </row>
    <row r="54" spans="1:20" ht="13.5" thickBot="1" x14ac:dyDescent="0.25">
      <c r="A54" s="11"/>
      <c r="B54" s="22">
        <f>B53+50000</f>
        <v>300000</v>
      </c>
      <c r="C54" s="33">
        <f t="shared" si="16"/>
        <v>509706.26581590809</v>
      </c>
      <c r="D54" s="34">
        <f t="shared" si="17"/>
        <v>141.58507383775225</v>
      </c>
      <c r="E54" s="11"/>
      <c r="H54" s="11"/>
      <c r="L54" s="35">
        <f t="shared" si="14"/>
        <v>3.3333333333333333E-2</v>
      </c>
      <c r="M54" s="189"/>
      <c r="N54" s="36">
        <f t="shared" si="15"/>
        <v>1.9619142770380866E-2</v>
      </c>
      <c r="O54" s="11"/>
      <c r="S54" s="11"/>
      <c r="T54" s="11"/>
    </row>
    <row r="55" spans="1:20" x14ac:dyDescent="0.2">
      <c r="A55" s="11"/>
      <c r="E55" s="11"/>
      <c r="F55" s="37"/>
      <c r="G55" s="38"/>
      <c r="H55" s="11"/>
      <c r="I55" s="11"/>
      <c r="J55" s="11"/>
      <c r="K55" s="11"/>
      <c r="P55" s="11"/>
      <c r="Q55" s="11"/>
    </row>
    <row r="56" spans="1:20" hidden="1" x14ac:dyDescent="0.2">
      <c r="A56" s="11"/>
      <c r="E56" s="11"/>
      <c r="F56" s="37"/>
      <c r="G56" s="38"/>
      <c r="H56" s="11"/>
      <c r="I56" s="11"/>
      <c r="J56" s="11"/>
      <c r="K56" s="11"/>
      <c r="P56" s="11"/>
      <c r="Q56" s="11"/>
    </row>
    <row r="57" spans="1:20" hidden="1" x14ac:dyDescent="0.2">
      <c r="A57" s="11"/>
      <c r="E57" s="11"/>
      <c r="F57" s="37"/>
      <c r="G57" s="38"/>
      <c r="H57" s="11"/>
      <c r="I57" s="11"/>
      <c r="J57" s="11"/>
      <c r="K57" s="11"/>
      <c r="P57" s="11"/>
      <c r="Q57" s="11"/>
    </row>
    <row r="58" spans="1:20" hidden="1" x14ac:dyDescent="0.2">
      <c r="A58" s="11"/>
      <c r="E58" s="11"/>
      <c r="F58" s="37"/>
      <c r="G58" s="38"/>
      <c r="H58" s="11"/>
      <c r="I58" s="11"/>
      <c r="J58" s="11"/>
      <c r="K58" s="11"/>
      <c r="P58" s="11"/>
      <c r="Q58" s="11"/>
    </row>
    <row r="59" spans="1:20" hidden="1" x14ac:dyDescent="0.2">
      <c r="A59" s="11"/>
      <c r="E59" s="11"/>
      <c r="F59" s="37"/>
      <c r="G59" s="38"/>
      <c r="H59" s="11"/>
      <c r="I59" s="11"/>
      <c r="J59" s="11"/>
      <c r="K59" s="11"/>
      <c r="P59" s="11"/>
      <c r="Q59" s="11"/>
    </row>
    <row r="60" spans="1:20" hidden="1" x14ac:dyDescent="0.2">
      <c r="A60" s="11"/>
      <c r="E60" s="11"/>
      <c r="F60" s="37"/>
      <c r="G60" s="38"/>
      <c r="H60" s="11"/>
      <c r="I60" s="11"/>
      <c r="J60" s="11"/>
      <c r="K60" s="11"/>
      <c r="P60" s="11"/>
      <c r="Q60" s="11"/>
    </row>
    <row r="61" spans="1:20" hidden="1" x14ac:dyDescent="0.2">
      <c r="A61" s="11"/>
      <c r="E61" s="11"/>
      <c r="F61" s="37"/>
      <c r="G61" s="38"/>
      <c r="H61" s="11"/>
      <c r="I61" s="11"/>
      <c r="J61" s="11"/>
      <c r="K61" s="11"/>
      <c r="P61" s="11"/>
      <c r="Q61" s="11"/>
    </row>
    <row r="62" spans="1:20" hidden="1" x14ac:dyDescent="0.2">
      <c r="F62" s="37"/>
      <c r="G62" s="38"/>
    </row>
  </sheetData>
  <sheetProtection sheet="1" objects="1" scenarios="1" selectLockedCells="1"/>
  <mergeCells count="7">
    <mergeCell ref="P5:Q5"/>
    <mergeCell ref="S5:T5"/>
    <mergeCell ref="L30:N30"/>
    <mergeCell ref="B5:D5"/>
    <mergeCell ref="F5:G5"/>
    <mergeCell ref="I5:J5"/>
    <mergeCell ref="L5:N5"/>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0"/>
  <sheetViews>
    <sheetView showGridLines="0" showRowColHeaders="0" topLeftCell="A43" workbookViewId="0">
      <selection activeCell="B7" sqref="B7"/>
    </sheetView>
  </sheetViews>
  <sheetFormatPr defaultColWidth="0" defaultRowHeight="12.75" zeroHeight="1" x14ac:dyDescent="0.2"/>
  <cols>
    <col min="1" max="1" width="2.85546875" style="7" customWidth="1"/>
    <col min="2" max="2" width="9.140625" style="7" customWidth="1"/>
    <col min="3" max="3" width="11.5703125" style="7" bestFit="1" customWidth="1"/>
    <col min="4" max="4" width="2.85546875" style="7" customWidth="1"/>
    <col min="5" max="5" width="11.5703125" style="7" bestFit="1" customWidth="1"/>
    <col min="6" max="6" width="10.5703125" style="7" customWidth="1"/>
    <col min="7" max="7" width="2.85546875" style="7" customWidth="1"/>
    <col min="8" max="8" width="9.140625" style="7" customWidth="1"/>
    <col min="9" max="9" width="8" style="7" bestFit="1" customWidth="1"/>
    <col min="10" max="10" width="2.85546875" style="7" customWidth="1"/>
    <col min="11" max="11" width="11.5703125" style="7" customWidth="1"/>
    <col min="12" max="12" width="14.42578125" style="7" customWidth="1"/>
    <col min="13" max="13" width="2.85546875" style="7" customWidth="1"/>
    <col min="14" max="14" width="13.85546875" style="7" customWidth="1"/>
    <col min="15" max="15" width="12.85546875" style="7" customWidth="1"/>
    <col min="16" max="16" width="2.85546875" style="7" customWidth="1"/>
    <col min="17" max="17" width="11.5703125" style="7" bestFit="1" customWidth="1"/>
    <col min="18" max="18" width="7.5703125" style="7" bestFit="1" customWidth="1"/>
    <col min="19" max="19" width="2.85546875" style="7" customWidth="1"/>
    <col min="20" max="20" width="11.5703125" style="7" bestFit="1" customWidth="1"/>
    <col min="21" max="21" width="10.85546875" style="7" customWidth="1"/>
    <col min="22" max="22" width="2.85546875" style="7" customWidth="1"/>
    <col min="23" max="16384" width="9.140625" style="7" hidden="1"/>
  </cols>
  <sheetData>
    <row r="1" spans="1:22" x14ac:dyDescent="0.2">
      <c r="A1" s="395"/>
      <c r="B1" s="395"/>
      <c r="C1" s="395"/>
      <c r="D1" s="395"/>
      <c r="E1" s="395"/>
      <c r="F1" s="395"/>
      <c r="G1" s="395"/>
      <c r="H1" s="395"/>
      <c r="I1" s="395"/>
      <c r="J1" s="395"/>
      <c r="K1" s="395"/>
      <c r="L1" s="395"/>
      <c r="M1" s="395"/>
      <c r="N1" s="395"/>
      <c r="O1" s="395"/>
      <c r="P1" s="395"/>
      <c r="Q1" s="395"/>
      <c r="R1" s="395"/>
      <c r="S1" s="395"/>
      <c r="T1" s="395"/>
      <c r="U1" s="395"/>
      <c r="V1" s="395"/>
    </row>
    <row r="2" spans="1:22" x14ac:dyDescent="0.2">
      <c r="A2" s="395"/>
      <c r="B2" s="388" t="s">
        <v>229</v>
      </c>
      <c r="C2" s="395"/>
      <c r="D2" s="395"/>
      <c r="E2" s="395"/>
      <c r="F2" s="395"/>
      <c r="G2" s="395"/>
      <c r="H2" s="395"/>
      <c r="I2" s="395"/>
      <c r="J2" s="395"/>
      <c r="K2" s="395"/>
      <c r="L2" s="395"/>
      <c r="M2" s="395"/>
      <c r="N2" s="395"/>
      <c r="O2" s="395"/>
      <c r="P2" s="395"/>
      <c r="Q2" s="395"/>
      <c r="R2" s="395"/>
      <c r="S2" s="395"/>
      <c r="T2" s="395"/>
      <c r="U2" s="395"/>
      <c r="V2" s="395"/>
    </row>
    <row r="3" spans="1:22" x14ac:dyDescent="0.2">
      <c r="A3" s="395"/>
      <c r="B3" s="388"/>
      <c r="C3" s="395"/>
      <c r="D3" s="395"/>
      <c r="E3" s="395"/>
      <c r="F3" s="395"/>
      <c r="G3" s="395"/>
      <c r="H3" s="395"/>
      <c r="I3" s="395"/>
      <c r="J3" s="395"/>
      <c r="K3" s="395"/>
      <c r="L3" s="395"/>
      <c r="M3" s="395"/>
      <c r="N3" s="395"/>
      <c r="O3" s="395"/>
      <c r="P3" s="395"/>
      <c r="Q3" s="395"/>
      <c r="R3" s="395"/>
      <c r="S3" s="395"/>
      <c r="T3" s="395"/>
      <c r="U3" s="395"/>
      <c r="V3" s="395"/>
    </row>
    <row r="4" spans="1:22" ht="13.5" thickBot="1" x14ac:dyDescent="0.25"/>
    <row r="5" spans="1:22" ht="40.5" customHeight="1" thickBot="1" x14ac:dyDescent="0.25">
      <c r="A5" s="39"/>
      <c r="B5" s="633" t="s">
        <v>101</v>
      </c>
      <c r="C5" s="634"/>
      <c r="D5" s="39"/>
      <c r="E5" s="633" t="s">
        <v>83</v>
      </c>
      <c r="F5" s="634"/>
      <c r="G5" s="39"/>
      <c r="H5" s="633" t="s">
        <v>84</v>
      </c>
      <c r="I5" s="634"/>
      <c r="J5" s="39"/>
      <c r="K5" s="633" t="s">
        <v>5</v>
      </c>
      <c r="L5" s="634"/>
      <c r="M5" s="39"/>
      <c r="N5" s="633" t="s">
        <v>5</v>
      </c>
      <c r="O5" s="634"/>
      <c r="P5" s="39"/>
      <c r="Q5" s="633" t="s">
        <v>1</v>
      </c>
      <c r="R5" s="634"/>
      <c r="T5" s="633" t="s">
        <v>85</v>
      </c>
      <c r="U5" s="634"/>
    </row>
    <row r="6" spans="1:22" s="41" customFormat="1" ht="27.75" thickTop="1" x14ac:dyDescent="0.2">
      <c r="A6" s="40"/>
      <c r="B6" s="175" t="s">
        <v>87</v>
      </c>
      <c r="C6" s="176" t="s">
        <v>86</v>
      </c>
      <c r="D6" s="40"/>
      <c r="E6" s="175" t="s">
        <v>90</v>
      </c>
      <c r="F6" s="176" t="s">
        <v>89</v>
      </c>
      <c r="G6" s="40"/>
      <c r="H6" s="177" t="s">
        <v>92</v>
      </c>
      <c r="I6" s="178" t="s">
        <v>91</v>
      </c>
      <c r="J6" s="40"/>
      <c r="K6" s="175" t="s">
        <v>94</v>
      </c>
      <c r="L6" s="176" t="s">
        <v>93</v>
      </c>
      <c r="M6" s="40"/>
      <c r="N6" s="175" t="s">
        <v>100</v>
      </c>
      <c r="O6" s="176" t="s">
        <v>99</v>
      </c>
      <c r="P6" s="40"/>
      <c r="Q6" s="175" t="s">
        <v>96</v>
      </c>
      <c r="R6" s="176" t="s">
        <v>95</v>
      </c>
      <c r="T6" s="175" t="s">
        <v>98</v>
      </c>
      <c r="U6" s="176" t="s">
        <v>97</v>
      </c>
    </row>
    <row r="7" spans="1:22" s="42" customFormat="1" x14ac:dyDescent="0.2">
      <c r="B7" s="396">
        <v>1</v>
      </c>
      <c r="C7" s="398">
        <f t="shared" ref="C7:C40" si="0">B7*(3.2808334)^3/60</f>
        <v>0.5885742831114259</v>
      </c>
      <c r="E7" s="396">
        <v>1</v>
      </c>
      <c r="F7" s="399">
        <f>E7*3.2808334*60</f>
        <v>196.85000400000001</v>
      </c>
      <c r="H7" s="397">
        <v>1</v>
      </c>
      <c r="I7" s="400">
        <f t="shared" ref="I7:I23" si="1">H7*3.28083</f>
        <v>3.2808299999999999</v>
      </c>
      <c r="K7" s="396">
        <v>1</v>
      </c>
      <c r="L7" s="400">
        <f>K7*(3.2808334)^3/60</f>
        <v>0.5885742831114259</v>
      </c>
      <c r="N7" s="396">
        <v>1</v>
      </c>
      <c r="O7" s="401">
        <f>(N7/(3.2808334)^3*60)</f>
        <v>1.6990208860530269</v>
      </c>
      <c r="P7" s="43"/>
      <c r="Q7" s="396">
        <v>1</v>
      </c>
      <c r="R7" s="402">
        <f>Q7/249</f>
        <v>4.0160642570281121E-3</v>
      </c>
      <c r="S7" s="191"/>
      <c r="T7" s="396">
        <v>1</v>
      </c>
      <c r="U7" s="403">
        <f>T7/5*9+32</f>
        <v>33.799999999999997</v>
      </c>
    </row>
    <row r="8" spans="1:22" x14ac:dyDescent="0.2">
      <c r="B8" s="44">
        <v>1000</v>
      </c>
      <c r="C8" s="45">
        <f t="shared" si="0"/>
        <v>588.57428311142587</v>
      </c>
      <c r="E8" s="44">
        <v>0.25</v>
      </c>
      <c r="F8" s="46">
        <f>E8*3.2808334*60</f>
        <v>49.212501000000003</v>
      </c>
      <c r="H8" s="44">
        <v>5</v>
      </c>
      <c r="I8" s="47">
        <f t="shared" si="1"/>
        <v>16.404150000000001</v>
      </c>
      <c r="K8" s="44">
        <v>10</v>
      </c>
      <c r="L8" s="47">
        <f>K8*(3.2808334)^3/60</f>
        <v>5.8857428311142597</v>
      </c>
      <c r="N8" s="48">
        <f>1/K8</f>
        <v>0.1</v>
      </c>
      <c r="O8" s="166">
        <f t="shared" ref="O8:O38" si="2">(N8/(3.2808334)^3*60)</f>
        <v>0.1699020886053027</v>
      </c>
      <c r="P8" s="49"/>
      <c r="Q8" s="44">
        <v>2</v>
      </c>
      <c r="R8" s="50">
        <f t="shared" ref="R8:R42" si="3">Q8/249</f>
        <v>8.0321285140562242E-3</v>
      </c>
      <c r="T8" s="44">
        <v>0</v>
      </c>
      <c r="U8" s="46">
        <f>(T8*9/5)+32</f>
        <v>32</v>
      </c>
    </row>
    <row r="9" spans="1:22" x14ac:dyDescent="0.2">
      <c r="B9" s="44">
        <f>B8+4000</f>
        <v>5000</v>
      </c>
      <c r="C9" s="45">
        <f t="shared" si="0"/>
        <v>2942.8714155571297</v>
      </c>
      <c r="E9" s="44">
        <f>E8+0.25</f>
        <v>0.5</v>
      </c>
      <c r="F9" s="46">
        <f t="shared" ref="F9:F26" si="4">E9*3.2808334*60</f>
        <v>98.425002000000006</v>
      </c>
      <c r="H9" s="44">
        <f t="shared" ref="H9:H23" si="5">H8+1</f>
        <v>6</v>
      </c>
      <c r="I9" s="47">
        <f t="shared" si="1"/>
        <v>19.684979999999999</v>
      </c>
      <c r="K9" s="44">
        <f>K8+1</f>
        <v>11</v>
      </c>
      <c r="L9" s="47">
        <f t="shared" ref="L9:L51" si="6">K9*(3.2808334)^3/60</f>
        <v>6.474317114225685</v>
      </c>
      <c r="N9" s="48">
        <f t="shared" ref="N9:N38" si="7">1/K9</f>
        <v>9.0909090909090912E-2</v>
      </c>
      <c r="O9" s="166">
        <f t="shared" si="2"/>
        <v>0.15445644418663881</v>
      </c>
      <c r="P9" s="49"/>
      <c r="Q9" s="44">
        <f>Q8+2</f>
        <v>4</v>
      </c>
      <c r="R9" s="50">
        <f t="shared" si="3"/>
        <v>1.6064257028112448E-2</v>
      </c>
      <c r="T9" s="44">
        <f>T8+1</f>
        <v>1</v>
      </c>
      <c r="U9" s="46">
        <f t="shared" ref="U9:U50" si="8">(T9*9/5)+32</f>
        <v>33.799999999999997</v>
      </c>
    </row>
    <row r="10" spans="1:22" x14ac:dyDescent="0.2">
      <c r="B10" s="44">
        <f>B9+5000</f>
        <v>10000</v>
      </c>
      <c r="C10" s="45">
        <f t="shared" si="0"/>
        <v>5885.7428311142594</v>
      </c>
      <c r="E10" s="44">
        <f t="shared" ref="E10:E26" si="9">E9+0.25</f>
        <v>0.75</v>
      </c>
      <c r="F10" s="46">
        <f t="shared" si="4"/>
        <v>147.63750300000001</v>
      </c>
      <c r="H10" s="44">
        <f t="shared" si="5"/>
        <v>7</v>
      </c>
      <c r="I10" s="47">
        <f t="shared" si="1"/>
        <v>22.965809999999998</v>
      </c>
      <c r="K10" s="44">
        <f t="shared" ref="K10:K51" si="10">K9+1</f>
        <v>12</v>
      </c>
      <c r="L10" s="47">
        <f t="shared" si="6"/>
        <v>7.0628913973371112</v>
      </c>
      <c r="N10" s="48">
        <f t="shared" si="7"/>
        <v>8.3333333333333329E-2</v>
      </c>
      <c r="O10" s="166">
        <f t="shared" si="2"/>
        <v>0.14158507383775223</v>
      </c>
      <c r="P10" s="49"/>
      <c r="Q10" s="44">
        <f t="shared" ref="Q10:Q42" si="11">Q9+2</f>
        <v>6</v>
      </c>
      <c r="R10" s="50">
        <f t="shared" si="3"/>
        <v>2.4096385542168676E-2</v>
      </c>
      <c r="T10" s="44">
        <f t="shared" ref="T10:T50" si="12">T9+1</f>
        <v>2</v>
      </c>
      <c r="U10" s="46">
        <f t="shared" si="8"/>
        <v>35.6</v>
      </c>
    </row>
    <row r="11" spans="1:22" x14ac:dyDescent="0.2">
      <c r="B11" s="44">
        <f t="shared" ref="B11:B40" si="13">B10+1000</f>
        <v>11000</v>
      </c>
      <c r="C11" s="45">
        <f t="shared" si="0"/>
        <v>6474.3171142256861</v>
      </c>
      <c r="E11" s="44">
        <f t="shared" si="9"/>
        <v>1</v>
      </c>
      <c r="F11" s="46">
        <f t="shared" si="4"/>
        <v>196.85000400000001</v>
      </c>
      <c r="H11" s="44">
        <f t="shared" si="5"/>
        <v>8</v>
      </c>
      <c r="I11" s="47">
        <f t="shared" si="1"/>
        <v>26.246639999999999</v>
      </c>
      <c r="K11" s="44">
        <f t="shared" si="10"/>
        <v>13</v>
      </c>
      <c r="L11" s="47">
        <f t="shared" si="6"/>
        <v>7.6514656804485375</v>
      </c>
      <c r="N11" s="48">
        <f t="shared" si="7"/>
        <v>7.6923076923076927E-2</v>
      </c>
      <c r="O11" s="166">
        <f t="shared" si="2"/>
        <v>0.1306939143117713</v>
      </c>
      <c r="P11" s="49"/>
      <c r="Q11" s="44">
        <f t="shared" si="11"/>
        <v>8</v>
      </c>
      <c r="R11" s="50">
        <f t="shared" si="3"/>
        <v>3.2128514056224897E-2</v>
      </c>
      <c r="T11" s="44">
        <f t="shared" si="12"/>
        <v>3</v>
      </c>
      <c r="U11" s="46">
        <f t="shared" si="8"/>
        <v>37.4</v>
      </c>
    </row>
    <row r="12" spans="1:22" x14ac:dyDescent="0.2">
      <c r="B12" s="44">
        <f t="shared" si="13"/>
        <v>12000</v>
      </c>
      <c r="C12" s="45">
        <f t="shared" si="0"/>
        <v>7062.8913973371109</v>
      </c>
      <c r="E12" s="44">
        <f t="shared" si="9"/>
        <v>1.25</v>
      </c>
      <c r="F12" s="46">
        <f t="shared" si="4"/>
        <v>246.06250500000002</v>
      </c>
      <c r="H12" s="44">
        <f t="shared" si="5"/>
        <v>9</v>
      </c>
      <c r="I12" s="47">
        <f t="shared" si="1"/>
        <v>29.527470000000001</v>
      </c>
      <c r="K12" s="44">
        <f t="shared" si="10"/>
        <v>14</v>
      </c>
      <c r="L12" s="47">
        <f t="shared" si="6"/>
        <v>8.2400399635599619</v>
      </c>
      <c r="N12" s="48">
        <f t="shared" si="7"/>
        <v>7.1428571428571425E-2</v>
      </c>
      <c r="O12" s="166">
        <f t="shared" si="2"/>
        <v>0.12135863471807334</v>
      </c>
      <c r="P12" s="49"/>
      <c r="Q12" s="44">
        <f t="shared" si="11"/>
        <v>10</v>
      </c>
      <c r="R12" s="50">
        <f t="shared" si="3"/>
        <v>4.0160642570281124E-2</v>
      </c>
      <c r="T12" s="44">
        <f t="shared" si="12"/>
        <v>4</v>
      </c>
      <c r="U12" s="46">
        <f t="shared" si="8"/>
        <v>39.200000000000003</v>
      </c>
    </row>
    <row r="13" spans="1:22" x14ac:dyDescent="0.2">
      <c r="B13" s="44">
        <f t="shared" si="13"/>
        <v>13000</v>
      </c>
      <c r="C13" s="45">
        <f t="shared" si="0"/>
        <v>7651.4656804485376</v>
      </c>
      <c r="E13" s="44">
        <f t="shared" si="9"/>
        <v>1.5</v>
      </c>
      <c r="F13" s="46">
        <f t="shared" si="4"/>
        <v>295.27500600000002</v>
      </c>
      <c r="H13" s="44">
        <f t="shared" si="5"/>
        <v>10</v>
      </c>
      <c r="I13" s="47">
        <f t="shared" si="1"/>
        <v>32.808300000000003</v>
      </c>
      <c r="K13" s="44">
        <f t="shared" si="10"/>
        <v>15</v>
      </c>
      <c r="L13" s="47">
        <f t="shared" si="6"/>
        <v>8.8286142466713891</v>
      </c>
      <c r="N13" s="48">
        <f t="shared" si="7"/>
        <v>6.6666666666666666E-2</v>
      </c>
      <c r="O13" s="166">
        <f t="shared" si="2"/>
        <v>0.11326805907020179</v>
      </c>
      <c r="P13" s="49"/>
      <c r="Q13" s="44">
        <f t="shared" si="11"/>
        <v>12</v>
      </c>
      <c r="R13" s="50">
        <f t="shared" si="3"/>
        <v>4.8192771084337352E-2</v>
      </c>
      <c r="T13" s="44">
        <f t="shared" si="12"/>
        <v>5</v>
      </c>
      <c r="U13" s="46">
        <f t="shared" si="8"/>
        <v>41</v>
      </c>
    </row>
    <row r="14" spans="1:22" x14ac:dyDescent="0.2">
      <c r="B14" s="44">
        <f t="shared" si="13"/>
        <v>14000</v>
      </c>
      <c r="C14" s="45">
        <f t="shared" si="0"/>
        <v>8240.0399635599642</v>
      </c>
      <c r="E14" s="44">
        <f t="shared" si="9"/>
        <v>1.75</v>
      </c>
      <c r="F14" s="46">
        <f t="shared" si="4"/>
        <v>344.48750700000005</v>
      </c>
      <c r="H14" s="44">
        <f t="shared" si="5"/>
        <v>11</v>
      </c>
      <c r="I14" s="47">
        <f t="shared" si="1"/>
        <v>36.089129999999997</v>
      </c>
      <c r="K14" s="44">
        <f t="shared" si="10"/>
        <v>16</v>
      </c>
      <c r="L14" s="47">
        <f t="shared" si="6"/>
        <v>9.4171885297828144</v>
      </c>
      <c r="N14" s="48">
        <f t="shared" si="7"/>
        <v>6.25E-2</v>
      </c>
      <c r="O14" s="166">
        <f t="shared" si="2"/>
        <v>0.10618880537831418</v>
      </c>
      <c r="P14" s="49"/>
      <c r="Q14" s="44">
        <f t="shared" si="11"/>
        <v>14</v>
      </c>
      <c r="R14" s="50">
        <f t="shared" si="3"/>
        <v>5.6224899598393573E-2</v>
      </c>
      <c r="T14" s="44">
        <f t="shared" si="12"/>
        <v>6</v>
      </c>
      <c r="U14" s="46">
        <f t="shared" si="8"/>
        <v>42.8</v>
      </c>
    </row>
    <row r="15" spans="1:22" x14ac:dyDescent="0.2">
      <c r="B15" s="44">
        <f t="shared" si="13"/>
        <v>15000</v>
      </c>
      <c r="C15" s="45">
        <f t="shared" si="0"/>
        <v>8828.6142466713882</v>
      </c>
      <c r="E15" s="44">
        <f t="shared" si="9"/>
        <v>2</v>
      </c>
      <c r="F15" s="46">
        <f t="shared" si="4"/>
        <v>393.70000800000003</v>
      </c>
      <c r="H15" s="44">
        <f t="shared" si="5"/>
        <v>12</v>
      </c>
      <c r="I15" s="47">
        <f t="shared" si="1"/>
        <v>39.369959999999999</v>
      </c>
      <c r="K15" s="44">
        <f t="shared" si="10"/>
        <v>17</v>
      </c>
      <c r="L15" s="47">
        <f t="shared" si="6"/>
        <v>10.00576281289424</v>
      </c>
      <c r="N15" s="48">
        <f t="shared" si="7"/>
        <v>5.8823529411764705E-2</v>
      </c>
      <c r="O15" s="166">
        <f t="shared" si="2"/>
        <v>9.9942405061942768E-2</v>
      </c>
      <c r="P15" s="49"/>
      <c r="Q15" s="44">
        <f t="shared" si="11"/>
        <v>16</v>
      </c>
      <c r="R15" s="50">
        <f t="shared" si="3"/>
        <v>6.4257028112449793E-2</v>
      </c>
      <c r="T15" s="44">
        <f t="shared" si="12"/>
        <v>7</v>
      </c>
      <c r="U15" s="46">
        <f t="shared" si="8"/>
        <v>44.6</v>
      </c>
    </row>
    <row r="16" spans="1:22" x14ac:dyDescent="0.2">
      <c r="B16" s="44">
        <f t="shared" si="13"/>
        <v>16000</v>
      </c>
      <c r="C16" s="45">
        <f t="shared" si="0"/>
        <v>9417.1885297828139</v>
      </c>
      <c r="E16" s="44">
        <f t="shared" si="9"/>
        <v>2.25</v>
      </c>
      <c r="F16" s="46">
        <f t="shared" si="4"/>
        <v>442.912509</v>
      </c>
      <c r="H16" s="44">
        <f t="shared" si="5"/>
        <v>13</v>
      </c>
      <c r="I16" s="47">
        <f t="shared" si="1"/>
        <v>42.650790000000001</v>
      </c>
      <c r="K16" s="44">
        <f t="shared" si="10"/>
        <v>18</v>
      </c>
      <c r="L16" s="47">
        <f t="shared" si="6"/>
        <v>10.594337096005667</v>
      </c>
      <c r="N16" s="48">
        <f t="shared" si="7"/>
        <v>5.5555555555555552E-2</v>
      </c>
      <c r="O16" s="166">
        <f t="shared" si="2"/>
        <v>9.4390049225168152E-2</v>
      </c>
      <c r="P16" s="49"/>
      <c r="Q16" s="44">
        <f t="shared" si="11"/>
        <v>18</v>
      </c>
      <c r="R16" s="50">
        <f t="shared" si="3"/>
        <v>7.2289156626506021E-2</v>
      </c>
      <c r="T16" s="44">
        <f t="shared" si="12"/>
        <v>8</v>
      </c>
      <c r="U16" s="46">
        <f t="shared" si="8"/>
        <v>46.4</v>
      </c>
    </row>
    <row r="17" spans="2:21" x14ac:dyDescent="0.2">
      <c r="B17" s="44">
        <f t="shared" si="13"/>
        <v>17000</v>
      </c>
      <c r="C17" s="45">
        <f t="shared" si="0"/>
        <v>10005.762812894242</v>
      </c>
      <c r="E17" s="44">
        <f t="shared" si="9"/>
        <v>2.5</v>
      </c>
      <c r="F17" s="46">
        <f t="shared" si="4"/>
        <v>492.12501000000003</v>
      </c>
      <c r="H17" s="44">
        <f t="shared" si="5"/>
        <v>14</v>
      </c>
      <c r="I17" s="47">
        <f t="shared" si="1"/>
        <v>45.931619999999995</v>
      </c>
      <c r="K17" s="44">
        <f t="shared" si="10"/>
        <v>19</v>
      </c>
      <c r="L17" s="47">
        <f t="shared" si="6"/>
        <v>11.182911379117092</v>
      </c>
      <c r="N17" s="48">
        <f t="shared" si="7"/>
        <v>5.2631578947368418E-2</v>
      </c>
      <c r="O17" s="166">
        <f t="shared" si="2"/>
        <v>8.9422151897527738E-2</v>
      </c>
      <c r="P17" s="49"/>
      <c r="Q17" s="44">
        <f t="shared" si="11"/>
        <v>20</v>
      </c>
      <c r="R17" s="50">
        <f t="shared" si="3"/>
        <v>8.0321285140562249E-2</v>
      </c>
      <c r="T17" s="44">
        <f t="shared" si="12"/>
        <v>9</v>
      </c>
      <c r="U17" s="46">
        <f t="shared" si="8"/>
        <v>48.2</v>
      </c>
    </row>
    <row r="18" spans="2:21" x14ac:dyDescent="0.2">
      <c r="B18" s="44">
        <f t="shared" si="13"/>
        <v>18000</v>
      </c>
      <c r="C18" s="45">
        <f t="shared" si="0"/>
        <v>10594.337096005667</v>
      </c>
      <c r="E18" s="44">
        <f t="shared" si="9"/>
        <v>2.75</v>
      </c>
      <c r="F18" s="46">
        <f t="shared" si="4"/>
        <v>541.33751100000006</v>
      </c>
      <c r="H18" s="44">
        <f t="shared" si="5"/>
        <v>15</v>
      </c>
      <c r="I18" s="47">
        <f t="shared" si="1"/>
        <v>49.212449999999997</v>
      </c>
      <c r="K18" s="44">
        <f t="shared" si="10"/>
        <v>20</v>
      </c>
      <c r="L18" s="47">
        <f t="shared" si="6"/>
        <v>11.771485662228519</v>
      </c>
      <c r="N18" s="48">
        <f t="shared" si="7"/>
        <v>0.05</v>
      </c>
      <c r="O18" s="166">
        <f t="shared" si="2"/>
        <v>8.4951044302651352E-2</v>
      </c>
      <c r="P18" s="49"/>
      <c r="Q18" s="44">
        <f t="shared" si="11"/>
        <v>22</v>
      </c>
      <c r="R18" s="50">
        <f t="shared" si="3"/>
        <v>8.8353413654618476E-2</v>
      </c>
      <c r="T18" s="44">
        <f t="shared" si="12"/>
        <v>10</v>
      </c>
      <c r="U18" s="46">
        <f t="shared" si="8"/>
        <v>50</v>
      </c>
    </row>
    <row r="19" spans="2:21" x14ac:dyDescent="0.2">
      <c r="B19" s="44">
        <f t="shared" si="13"/>
        <v>19000</v>
      </c>
      <c r="C19" s="45">
        <f t="shared" si="0"/>
        <v>11182.911379117093</v>
      </c>
      <c r="E19" s="44">
        <f t="shared" si="9"/>
        <v>3</v>
      </c>
      <c r="F19" s="46">
        <f t="shared" si="4"/>
        <v>590.55001200000004</v>
      </c>
      <c r="H19" s="44">
        <f t="shared" si="5"/>
        <v>16</v>
      </c>
      <c r="I19" s="47">
        <f t="shared" si="1"/>
        <v>52.493279999999999</v>
      </c>
      <c r="K19" s="44">
        <f t="shared" si="10"/>
        <v>21</v>
      </c>
      <c r="L19" s="47">
        <f t="shared" si="6"/>
        <v>12.360059945339945</v>
      </c>
      <c r="N19" s="48">
        <f t="shared" si="7"/>
        <v>4.7619047619047616E-2</v>
      </c>
      <c r="O19" s="166">
        <f t="shared" si="2"/>
        <v>8.0905756478715563E-2</v>
      </c>
      <c r="P19" s="49"/>
      <c r="Q19" s="44">
        <f t="shared" si="11"/>
        <v>24</v>
      </c>
      <c r="R19" s="50">
        <f t="shared" si="3"/>
        <v>9.6385542168674704E-2</v>
      </c>
      <c r="T19" s="44">
        <f t="shared" si="12"/>
        <v>11</v>
      </c>
      <c r="U19" s="46">
        <f t="shared" si="8"/>
        <v>51.8</v>
      </c>
    </row>
    <row r="20" spans="2:21" x14ac:dyDescent="0.2">
      <c r="B20" s="44">
        <f t="shared" si="13"/>
        <v>20000</v>
      </c>
      <c r="C20" s="45">
        <f t="shared" si="0"/>
        <v>11771.485662228519</v>
      </c>
      <c r="E20" s="44">
        <f t="shared" si="9"/>
        <v>3.25</v>
      </c>
      <c r="F20" s="46">
        <f t="shared" si="4"/>
        <v>639.76251300000001</v>
      </c>
      <c r="H20" s="44">
        <f t="shared" si="5"/>
        <v>17</v>
      </c>
      <c r="I20" s="47">
        <f t="shared" si="1"/>
        <v>55.77411</v>
      </c>
      <c r="K20" s="44">
        <f t="shared" si="10"/>
        <v>22</v>
      </c>
      <c r="L20" s="47">
        <f t="shared" si="6"/>
        <v>12.94863422845137</v>
      </c>
      <c r="N20" s="48">
        <f t="shared" si="7"/>
        <v>4.5454545454545456E-2</v>
      </c>
      <c r="O20" s="166">
        <f t="shared" si="2"/>
        <v>7.7228222093319407E-2</v>
      </c>
      <c r="P20" s="49"/>
      <c r="Q20" s="44">
        <f t="shared" si="11"/>
        <v>26</v>
      </c>
      <c r="R20" s="50">
        <f t="shared" si="3"/>
        <v>0.10441767068273092</v>
      </c>
      <c r="T20" s="44">
        <f t="shared" si="12"/>
        <v>12</v>
      </c>
      <c r="U20" s="46">
        <f t="shared" si="8"/>
        <v>53.6</v>
      </c>
    </row>
    <row r="21" spans="2:21" x14ac:dyDescent="0.2">
      <c r="B21" s="44">
        <f t="shared" si="13"/>
        <v>21000</v>
      </c>
      <c r="C21" s="45">
        <f t="shared" si="0"/>
        <v>12360.059945339945</v>
      </c>
      <c r="E21" s="44">
        <f t="shared" si="9"/>
        <v>3.5</v>
      </c>
      <c r="F21" s="46">
        <f t="shared" si="4"/>
        <v>688.9750140000001</v>
      </c>
      <c r="H21" s="44">
        <f t="shared" si="5"/>
        <v>18</v>
      </c>
      <c r="I21" s="47">
        <f t="shared" si="1"/>
        <v>59.054940000000002</v>
      </c>
      <c r="K21" s="44">
        <f t="shared" si="10"/>
        <v>23</v>
      </c>
      <c r="L21" s="47">
        <f t="shared" si="6"/>
        <v>13.537208511562797</v>
      </c>
      <c r="N21" s="48">
        <f t="shared" si="7"/>
        <v>4.3478260869565216E-2</v>
      </c>
      <c r="O21" s="166">
        <f t="shared" si="2"/>
        <v>7.3870473306653334E-2</v>
      </c>
      <c r="P21" s="49"/>
      <c r="Q21" s="44">
        <f t="shared" si="11"/>
        <v>28</v>
      </c>
      <c r="R21" s="50">
        <f t="shared" si="3"/>
        <v>0.11244979919678715</v>
      </c>
      <c r="T21" s="44">
        <f t="shared" si="12"/>
        <v>13</v>
      </c>
      <c r="U21" s="46">
        <f t="shared" si="8"/>
        <v>55.4</v>
      </c>
    </row>
    <row r="22" spans="2:21" x14ac:dyDescent="0.2">
      <c r="B22" s="44">
        <f t="shared" si="13"/>
        <v>22000</v>
      </c>
      <c r="C22" s="45">
        <f t="shared" si="0"/>
        <v>12948.634228451372</v>
      </c>
      <c r="E22" s="44">
        <f t="shared" si="9"/>
        <v>3.75</v>
      </c>
      <c r="F22" s="46">
        <f t="shared" si="4"/>
        <v>738.18751500000008</v>
      </c>
      <c r="H22" s="44">
        <f t="shared" si="5"/>
        <v>19</v>
      </c>
      <c r="I22" s="47">
        <f t="shared" si="1"/>
        <v>62.335769999999997</v>
      </c>
      <c r="K22" s="44">
        <f t="shared" si="10"/>
        <v>24</v>
      </c>
      <c r="L22" s="47">
        <f t="shared" si="6"/>
        <v>14.125782794674222</v>
      </c>
      <c r="N22" s="48">
        <f t="shared" si="7"/>
        <v>4.1666666666666664E-2</v>
      </c>
      <c r="O22" s="166">
        <f t="shared" si="2"/>
        <v>7.0792536918876117E-2</v>
      </c>
      <c r="P22" s="49"/>
      <c r="Q22" s="44">
        <f t="shared" si="11"/>
        <v>30</v>
      </c>
      <c r="R22" s="50">
        <f t="shared" si="3"/>
        <v>0.12048192771084337</v>
      </c>
      <c r="T22" s="44">
        <f t="shared" si="12"/>
        <v>14</v>
      </c>
      <c r="U22" s="46">
        <f t="shared" si="8"/>
        <v>57.2</v>
      </c>
    </row>
    <row r="23" spans="2:21" x14ac:dyDescent="0.2">
      <c r="B23" s="44">
        <f t="shared" si="13"/>
        <v>23000</v>
      </c>
      <c r="C23" s="45">
        <f t="shared" si="0"/>
        <v>13537.208511562796</v>
      </c>
      <c r="E23" s="44">
        <f t="shared" si="9"/>
        <v>4</v>
      </c>
      <c r="F23" s="46">
        <f t="shared" si="4"/>
        <v>787.40001600000005</v>
      </c>
      <c r="H23" s="44">
        <f t="shared" si="5"/>
        <v>20</v>
      </c>
      <c r="I23" s="47">
        <f t="shared" si="1"/>
        <v>65.616600000000005</v>
      </c>
      <c r="K23" s="44">
        <f t="shared" si="10"/>
        <v>25</v>
      </c>
      <c r="L23" s="47">
        <f t="shared" si="6"/>
        <v>14.714357077785648</v>
      </c>
      <c r="N23" s="48">
        <f t="shared" si="7"/>
        <v>0.04</v>
      </c>
      <c r="O23" s="166">
        <f t="shared" si="2"/>
        <v>6.7960835442121073E-2</v>
      </c>
      <c r="P23" s="49"/>
      <c r="Q23" s="44">
        <f t="shared" si="11"/>
        <v>32</v>
      </c>
      <c r="R23" s="50">
        <f t="shared" si="3"/>
        <v>0.12851405622489959</v>
      </c>
      <c r="T23" s="44">
        <f t="shared" si="12"/>
        <v>15</v>
      </c>
      <c r="U23" s="46">
        <f t="shared" si="8"/>
        <v>59</v>
      </c>
    </row>
    <row r="24" spans="2:21" x14ac:dyDescent="0.2">
      <c r="B24" s="44">
        <f t="shared" si="13"/>
        <v>24000</v>
      </c>
      <c r="C24" s="45">
        <f t="shared" si="0"/>
        <v>14125.782794674222</v>
      </c>
      <c r="E24" s="44">
        <f t="shared" si="9"/>
        <v>4.25</v>
      </c>
      <c r="F24" s="46">
        <f t="shared" si="4"/>
        <v>836.61251700000003</v>
      </c>
      <c r="H24" s="44"/>
      <c r="I24" s="46"/>
      <c r="K24" s="44">
        <f t="shared" si="10"/>
        <v>26</v>
      </c>
      <c r="L24" s="47">
        <f t="shared" si="6"/>
        <v>15.302931360897075</v>
      </c>
      <c r="N24" s="48">
        <f t="shared" si="7"/>
        <v>3.8461538461538464E-2</v>
      </c>
      <c r="O24" s="166">
        <f t="shared" si="2"/>
        <v>6.5346957155885649E-2</v>
      </c>
      <c r="P24" s="49"/>
      <c r="Q24" s="44">
        <f t="shared" si="11"/>
        <v>34</v>
      </c>
      <c r="R24" s="50">
        <f t="shared" si="3"/>
        <v>0.13654618473895583</v>
      </c>
      <c r="T24" s="44">
        <f t="shared" si="12"/>
        <v>16</v>
      </c>
      <c r="U24" s="46">
        <f t="shared" si="8"/>
        <v>60.8</v>
      </c>
    </row>
    <row r="25" spans="2:21" x14ac:dyDescent="0.2">
      <c r="B25" s="44">
        <f t="shared" si="13"/>
        <v>25000</v>
      </c>
      <c r="C25" s="45">
        <f t="shared" si="0"/>
        <v>14714.357077785649</v>
      </c>
      <c r="E25" s="44">
        <f t="shared" si="9"/>
        <v>4.5</v>
      </c>
      <c r="F25" s="46">
        <f t="shared" si="4"/>
        <v>885.825018</v>
      </c>
      <c r="H25" s="44">
        <v>100</v>
      </c>
      <c r="I25" s="46">
        <f t="shared" ref="I25:I31" si="14">H25*3.28083</f>
        <v>328.08299999999997</v>
      </c>
      <c r="K25" s="44">
        <f t="shared" si="10"/>
        <v>27</v>
      </c>
      <c r="L25" s="47">
        <f t="shared" si="6"/>
        <v>15.8915056440085</v>
      </c>
      <c r="N25" s="48">
        <f t="shared" si="7"/>
        <v>3.7037037037037035E-2</v>
      </c>
      <c r="O25" s="166">
        <f t="shared" si="2"/>
        <v>6.2926699483445439E-2</v>
      </c>
      <c r="P25" s="49"/>
      <c r="Q25" s="44">
        <f t="shared" si="11"/>
        <v>36</v>
      </c>
      <c r="R25" s="50">
        <f t="shared" si="3"/>
        <v>0.14457831325301204</v>
      </c>
      <c r="T25" s="44">
        <f t="shared" si="12"/>
        <v>17</v>
      </c>
      <c r="U25" s="46">
        <f t="shared" si="8"/>
        <v>62.6</v>
      </c>
    </row>
    <row r="26" spans="2:21" ht="13.5" thickBot="1" x14ac:dyDescent="0.25">
      <c r="B26" s="44">
        <f t="shared" si="13"/>
        <v>26000</v>
      </c>
      <c r="C26" s="45">
        <f t="shared" si="0"/>
        <v>15302.931360897075</v>
      </c>
      <c r="E26" s="51">
        <f t="shared" si="9"/>
        <v>4.75</v>
      </c>
      <c r="F26" s="52">
        <f t="shared" si="4"/>
        <v>935.03751900000009</v>
      </c>
      <c r="H26" s="44">
        <f t="shared" ref="H26:H31" si="15">H25+10</f>
        <v>110</v>
      </c>
      <c r="I26" s="46">
        <f t="shared" si="14"/>
        <v>360.8913</v>
      </c>
      <c r="K26" s="44">
        <f t="shared" si="10"/>
        <v>28</v>
      </c>
      <c r="L26" s="47">
        <f t="shared" si="6"/>
        <v>16.480079927119924</v>
      </c>
      <c r="N26" s="48">
        <f t="shared" si="7"/>
        <v>3.5714285714285712E-2</v>
      </c>
      <c r="O26" s="166">
        <f t="shared" si="2"/>
        <v>6.0679317359036672E-2</v>
      </c>
      <c r="P26" s="49"/>
      <c r="Q26" s="44">
        <f t="shared" si="11"/>
        <v>38</v>
      </c>
      <c r="R26" s="50">
        <f t="shared" si="3"/>
        <v>0.15261044176706828</v>
      </c>
      <c r="T26" s="44">
        <f t="shared" si="12"/>
        <v>18</v>
      </c>
      <c r="U26" s="46">
        <f t="shared" si="8"/>
        <v>64.400000000000006</v>
      </c>
    </row>
    <row r="27" spans="2:21" x14ac:dyDescent="0.2">
      <c r="B27" s="44">
        <f t="shared" si="13"/>
        <v>27000</v>
      </c>
      <c r="C27" s="45">
        <f t="shared" si="0"/>
        <v>15891.505644008499</v>
      </c>
      <c r="F27" s="53"/>
      <c r="H27" s="44">
        <f t="shared" si="15"/>
        <v>120</v>
      </c>
      <c r="I27" s="46">
        <f t="shared" si="14"/>
        <v>393.69959999999998</v>
      </c>
      <c r="K27" s="44">
        <f t="shared" si="10"/>
        <v>29</v>
      </c>
      <c r="L27" s="47">
        <f t="shared" si="6"/>
        <v>17.068654210231351</v>
      </c>
      <c r="N27" s="48">
        <f t="shared" si="7"/>
        <v>3.4482758620689655E-2</v>
      </c>
      <c r="O27" s="166">
        <f t="shared" si="2"/>
        <v>5.8586927105276784E-2</v>
      </c>
      <c r="P27" s="49"/>
      <c r="Q27" s="44">
        <f t="shared" si="11"/>
        <v>40</v>
      </c>
      <c r="R27" s="50">
        <f t="shared" si="3"/>
        <v>0.1606425702811245</v>
      </c>
      <c r="T27" s="44">
        <f t="shared" si="12"/>
        <v>19</v>
      </c>
      <c r="U27" s="46">
        <f t="shared" si="8"/>
        <v>66.2</v>
      </c>
    </row>
    <row r="28" spans="2:21" x14ac:dyDescent="0.2">
      <c r="B28" s="44">
        <f t="shared" si="13"/>
        <v>28000</v>
      </c>
      <c r="C28" s="45">
        <f t="shared" si="0"/>
        <v>16480.079927119928</v>
      </c>
      <c r="H28" s="44">
        <f t="shared" si="15"/>
        <v>130</v>
      </c>
      <c r="I28" s="46">
        <f t="shared" si="14"/>
        <v>426.50790000000001</v>
      </c>
      <c r="K28" s="44">
        <f t="shared" si="10"/>
        <v>30</v>
      </c>
      <c r="L28" s="47">
        <f t="shared" si="6"/>
        <v>17.657228493342778</v>
      </c>
      <c r="N28" s="48">
        <f t="shared" si="7"/>
        <v>3.3333333333333333E-2</v>
      </c>
      <c r="O28" s="166">
        <f t="shared" si="2"/>
        <v>5.6634029535100897E-2</v>
      </c>
      <c r="P28" s="49"/>
      <c r="Q28" s="44">
        <f t="shared" si="11"/>
        <v>42</v>
      </c>
      <c r="R28" s="50">
        <f t="shared" si="3"/>
        <v>0.16867469879518071</v>
      </c>
      <c r="T28" s="44">
        <f t="shared" si="12"/>
        <v>20</v>
      </c>
      <c r="U28" s="46">
        <f t="shared" si="8"/>
        <v>68</v>
      </c>
    </row>
    <row r="29" spans="2:21" x14ac:dyDescent="0.2">
      <c r="B29" s="44">
        <f t="shared" si="13"/>
        <v>29000</v>
      </c>
      <c r="C29" s="45">
        <f t="shared" si="0"/>
        <v>17068.654210231351</v>
      </c>
      <c r="H29" s="44">
        <f t="shared" si="15"/>
        <v>140</v>
      </c>
      <c r="I29" s="46">
        <f t="shared" si="14"/>
        <v>459.31619999999998</v>
      </c>
      <c r="K29" s="44">
        <f t="shared" si="10"/>
        <v>31</v>
      </c>
      <c r="L29" s="47">
        <f t="shared" si="6"/>
        <v>18.245802776454202</v>
      </c>
      <c r="N29" s="48">
        <f t="shared" si="7"/>
        <v>3.2258064516129031E-2</v>
      </c>
      <c r="O29" s="166">
        <f t="shared" si="2"/>
        <v>5.4807125356549254E-2</v>
      </c>
      <c r="P29" s="49"/>
      <c r="Q29" s="44">
        <f t="shared" si="11"/>
        <v>44</v>
      </c>
      <c r="R29" s="50">
        <f t="shared" si="3"/>
        <v>0.17670682730923695</v>
      </c>
      <c r="T29" s="44">
        <f t="shared" si="12"/>
        <v>21</v>
      </c>
      <c r="U29" s="46">
        <f t="shared" si="8"/>
        <v>69.8</v>
      </c>
    </row>
    <row r="30" spans="2:21" x14ac:dyDescent="0.2">
      <c r="B30" s="44">
        <f t="shared" si="13"/>
        <v>30000</v>
      </c>
      <c r="C30" s="45">
        <f t="shared" si="0"/>
        <v>17657.228493342776</v>
      </c>
      <c r="H30" s="44">
        <f t="shared" si="15"/>
        <v>150</v>
      </c>
      <c r="I30" s="46">
        <f t="shared" si="14"/>
        <v>492.12450000000001</v>
      </c>
      <c r="K30" s="44">
        <f t="shared" si="10"/>
        <v>32</v>
      </c>
      <c r="L30" s="47">
        <f t="shared" si="6"/>
        <v>18.834377059565629</v>
      </c>
      <c r="N30" s="48">
        <f t="shared" si="7"/>
        <v>3.125E-2</v>
      </c>
      <c r="O30" s="166">
        <f t="shared" si="2"/>
        <v>5.3094402689157091E-2</v>
      </c>
      <c r="P30" s="49"/>
      <c r="Q30" s="44">
        <f t="shared" si="11"/>
        <v>46</v>
      </c>
      <c r="R30" s="50">
        <f t="shared" si="3"/>
        <v>0.18473895582329317</v>
      </c>
      <c r="T30" s="44">
        <f t="shared" si="12"/>
        <v>22</v>
      </c>
      <c r="U30" s="46">
        <f t="shared" si="8"/>
        <v>71.599999999999994</v>
      </c>
    </row>
    <row r="31" spans="2:21" ht="13.5" thickBot="1" x14ac:dyDescent="0.25">
      <c r="B31" s="44">
        <f t="shared" si="13"/>
        <v>31000</v>
      </c>
      <c r="C31" s="45">
        <f t="shared" si="0"/>
        <v>18245.802776454202</v>
      </c>
      <c r="H31" s="51">
        <f t="shared" si="15"/>
        <v>160</v>
      </c>
      <c r="I31" s="52">
        <f t="shared" si="14"/>
        <v>524.93280000000004</v>
      </c>
      <c r="K31" s="44">
        <f t="shared" si="10"/>
        <v>33</v>
      </c>
      <c r="L31" s="47">
        <f t="shared" si="6"/>
        <v>19.422951342677056</v>
      </c>
      <c r="N31" s="48">
        <f t="shared" si="7"/>
        <v>3.0303030303030304E-2</v>
      </c>
      <c r="O31" s="166">
        <f t="shared" si="2"/>
        <v>5.1485481395546269E-2</v>
      </c>
      <c r="P31" s="49"/>
      <c r="Q31" s="44">
        <f t="shared" si="11"/>
        <v>48</v>
      </c>
      <c r="R31" s="50">
        <f t="shared" si="3"/>
        <v>0.19277108433734941</v>
      </c>
      <c r="T31" s="44">
        <f t="shared" si="12"/>
        <v>23</v>
      </c>
      <c r="U31" s="46">
        <f t="shared" si="8"/>
        <v>73.400000000000006</v>
      </c>
    </row>
    <row r="32" spans="2:21" x14ac:dyDescent="0.2">
      <c r="B32" s="44">
        <f t="shared" si="13"/>
        <v>32000</v>
      </c>
      <c r="C32" s="45">
        <f t="shared" si="0"/>
        <v>18834.377059565628</v>
      </c>
      <c r="K32" s="44">
        <f t="shared" si="10"/>
        <v>34</v>
      </c>
      <c r="L32" s="47">
        <f t="shared" si="6"/>
        <v>20.011525625788479</v>
      </c>
      <c r="N32" s="48">
        <f t="shared" si="7"/>
        <v>2.9411764705882353E-2</v>
      </c>
      <c r="O32" s="166">
        <f t="shared" si="2"/>
        <v>4.9971202530971384E-2</v>
      </c>
      <c r="P32" s="49"/>
      <c r="Q32" s="44">
        <f t="shared" si="11"/>
        <v>50</v>
      </c>
      <c r="R32" s="50">
        <f t="shared" si="3"/>
        <v>0.20080321285140562</v>
      </c>
      <c r="T32" s="44">
        <f t="shared" si="12"/>
        <v>24</v>
      </c>
      <c r="U32" s="46">
        <f t="shared" si="8"/>
        <v>75.2</v>
      </c>
    </row>
    <row r="33" spans="2:21" x14ac:dyDescent="0.2">
      <c r="B33" s="44">
        <f t="shared" si="13"/>
        <v>33000</v>
      </c>
      <c r="C33" s="45">
        <f t="shared" si="0"/>
        <v>19422.951342677057</v>
      </c>
      <c r="K33" s="44">
        <f t="shared" si="10"/>
        <v>35</v>
      </c>
      <c r="L33" s="47">
        <f t="shared" si="6"/>
        <v>20.600099908899907</v>
      </c>
      <c r="N33" s="48">
        <f t="shared" si="7"/>
        <v>2.8571428571428571E-2</v>
      </c>
      <c r="O33" s="166">
        <f t="shared" si="2"/>
        <v>4.8543453887229332E-2</v>
      </c>
      <c r="P33" s="49"/>
      <c r="Q33" s="44">
        <f t="shared" si="11"/>
        <v>52</v>
      </c>
      <c r="R33" s="50">
        <f t="shared" si="3"/>
        <v>0.20883534136546184</v>
      </c>
      <c r="T33" s="44">
        <f t="shared" si="12"/>
        <v>25</v>
      </c>
      <c r="U33" s="46">
        <f t="shared" si="8"/>
        <v>77</v>
      </c>
    </row>
    <row r="34" spans="2:21" x14ac:dyDescent="0.2">
      <c r="B34" s="44">
        <f t="shared" si="13"/>
        <v>34000</v>
      </c>
      <c r="C34" s="45">
        <f t="shared" si="0"/>
        <v>20011.525625788483</v>
      </c>
      <c r="K34" s="44">
        <f t="shared" si="10"/>
        <v>36</v>
      </c>
      <c r="L34" s="47">
        <f t="shared" si="6"/>
        <v>21.188674192011334</v>
      </c>
      <c r="N34" s="48">
        <f t="shared" si="7"/>
        <v>2.7777777777777776E-2</v>
      </c>
      <c r="O34" s="166">
        <f t="shared" si="2"/>
        <v>4.7195024612584076E-2</v>
      </c>
      <c r="P34" s="49"/>
      <c r="Q34" s="44">
        <f t="shared" si="11"/>
        <v>54</v>
      </c>
      <c r="R34" s="50">
        <f t="shared" si="3"/>
        <v>0.21686746987951808</v>
      </c>
      <c r="T34" s="44">
        <f t="shared" si="12"/>
        <v>26</v>
      </c>
      <c r="U34" s="46">
        <f t="shared" si="8"/>
        <v>78.8</v>
      </c>
    </row>
    <row r="35" spans="2:21" x14ac:dyDescent="0.2">
      <c r="B35" s="44">
        <f t="shared" si="13"/>
        <v>35000</v>
      </c>
      <c r="C35" s="45">
        <f t="shared" si="0"/>
        <v>20600.099908899909</v>
      </c>
      <c r="K35" s="44">
        <f t="shared" si="10"/>
        <v>37</v>
      </c>
      <c r="L35" s="47">
        <f t="shared" si="6"/>
        <v>21.777248475122757</v>
      </c>
      <c r="N35" s="48">
        <f t="shared" si="7"/>
        <v>2.7027027027027029E-2</v>
      </c>
      <c r="O35" s="166">
        <f t="shared" si="2"/>
        <v>4.5919483406838567E-2</v>
      </c>
      <c r="P35" s="49"/>
      <c r="Q35" s="44">
        <f t="shared" si="11"/>
        <v>56</v>
      </c>
      <c r="R35" s="50">
        <f t="shared" si="3"/>
        <v>0.22489959839357429</v>
      </c>
      <c r="T35" s="44">
        <f t="shared" si="12"/>
        <v>27</v>
      </c>
      <c r="U35" s="46">
        <f t="shared" si="8"/>
        <v>80.599999999999994</v>
      </c>
    </row>
    <row r="36" spans="2:21" x14ac:dyDescent="0.2">
      <c r="B36" s="44">
        <f t="shared" si="13"/>
        <v>36000</v>
      </c>
      <c r="C36" s="45">
        <f t="shared" si="0"/>
        <v>21188.674192011335</v>
      </c>
      <c r="K36" s="44">
        <f t="shared" si="10"/>
        <v>38</v>
      </c>
      <c r="L36" s="47">
        <f t="shared" si="6"/>
        <v>22.365822758234184</v>
      </c>
      <c r="N36" s="48">
        <f t="shared" si="7"/>
        <v>2.6315789473684209E-2</v>
      </c>
      <c r="O36" s="166">
        <f t="shared" si="2"/>
        <v>4.4711075948763869E-2</v>
      </c>
      <c r="P36" s="49"/>
      <c r="Q36" s="44">
        <f t="shared" si="11"/>
        <v>58</v>
      </c>
      <c r="R36" s="50">
        <f t="shared" si="3"/>
        <v>0.23293172690763053</v>
      </c>
      <c r="T36" s="44">
        <f t="shared" si="12"/>
        <v>28</v>
      </c>
      <c r="U36" s="46">
        <f t="shared" si="8"/>
        <v>82.4</v>
      </c>
    </row>
    <row r="37" spans="2:21" x14ac:dyDescent="0.2">
      <c r="B37" s="44">
        <f t="shared" si="13"/>
        <v>37000</v>
      </c>
      <c r="C37" s="45">
        <f t="shared" si="0"/>
        <v>21777.248475122757</v>
      </c>
      <c r="K37" s="44">
        <f t="shared" si="10"/>
        <v>39</v>
      </c>
      <c r="L37" s="47">
        <f t="shared" si="6"/>
        <v>22.954397041345612</v>
      </c>
      <c r="N37" s="48">
        <f t="shared" si="7"/>
        <v>2.564102564102564E-2</v>
      </c>
      <c r="O37" s="166">
        <f t="shared" si="2"/>
        <v>4.3564638103923761E-2</v>
      </c>
      <c r="P37" s="49"/>
      <c r="Q37" s="44">
        <f t="shared" si="11"/>
        <v>60</v>
      </c>
      <c r="R37" s="50">
        <f t="shared" si="3"/>
        <v>0.24096385542168675</v>
      </c>
      <c r="T37" s="44">
        <f t="shared" si="12"/>
        <v>29</v>
      </c>
      <c r="U37" s="46">
        <f t="shared" si="8"/>
        <v>84.2</v>
      </c>
    </row>
    <row r="38" spans="2:21" ht="13.5" thickBot="1" x14ac:dyDescent="0.25">
      <c r="B38" s="44">
        <f t="shared" si="13"/>
        <v>38000</v>
      </c>
      <c r="C38" s="45">
        <f t="shared" si="0"/>
        <v>22365.822758234186</v>
      </c>
      <c r="K38" s="44">
        <f t="shared" si="10"/>
        <v>40</v>
      </c>
      <c r="L38" s="47">
        <f t="shared" si="6"/>
        <v>23.542971324457039</v>
      </c>
      <c r="N38" s="54">
        <f t="shared" si="7"/>
        <v>2.5000000000000001E-2</v>
      </c>
      <c r="O38" s="167">
        <f t="shared" si="2"/>
        <v>4.2475522151325676E-2</v>
      </c>
      <c r="P38" s="49"/>
      <c r="Q38" s="44">
        <f t="shared" si="11"/>
        <v>62</v>
      </c>
      <c r="R38" s="50">
        <f t="shared" si="3"/>
        <v>0.24899598393574296</v>
      </c>
      <c r="T38" s="44">
        <f t="shared" si="12"/>
        <v>30</v>
      </c>
      <c r="U38" s="46">
        <f t="shared" si="8"/>
        <v>86</v>
      </c>
    </row>
    <row r="39" spans="2:21" x14ac:dyDescent="0.2">
      <c r="B39" s="44">
        <f t="shared" si="13"/>
        <v>39000</v>
      </c>
      <c r="C39" s="45">
        <f t="shared" si="0"/>
        <v>22954.397041345612</v>
      </c>
      <c r="K39" s="44">
        <f t="shared" si="10"/>
        <v>41</v>
      </c>
      <c r="L39" s="47">
        <f t="shared" si="6"/>
        <v>24.131545607568462</v>
      </c>
      <c r="Q39" s="44">
        <f t="shared" si="11"/>
        <v>64</v>
      </c>
      <c r="R39" s="50">
        <f t="shared" si="3"/>
        <v>0.25702811244979917</v>
      </c>
      <c r="T39" s="44">
        <f t="shared" si="12"/>
        <v>31</v>
      </c>
      <c r="U39" s="46">
        <f t="shared" si="8"/>
        <v>87.8</v>
      </c>
    </row>
    <row r="40" spans="2:21" x14ac:dyDescent="0.2">
      <c r="B40" s="44">
        <f t="shared" si="13"/>
        <v>40000</v>
      </c>
      <c r="C40" s="45">
        <f t="shared" si="0"/>
        <v>23542.971324457038</v>
      </c>
      <c r="K40" s="44">
        <f t="shared" si="10"/>
        <v>42</v>
      </c>
      <c r="L40" s="47">
        <f t="shared" si="6"/>
        <v>24.720119890679889</v>
      </c>
      <c r="Q40" s="44">
        <f t="shared" si="11"/>
        <v>66</v>
      </c>
      <c r="R40" s="50">
        <f t="shared" si="3"/>
        <v>0.26506024096385544</v>
      </c>
      <c r="T40" s="44">
        <f t="shared" si="12"/>
        <v>32</v>
      </c>
      <c r="U40" s="46">
        <f t="shared" si="8"/>
        <v>89.6</v>
      </c>
    </row>
    <row r="41" spans="2:21" x14ac:dyDescent="0.2">
      <c r="B41" s="44"/>
      <c r="C41" s="45"/>
      <c r="K41" s="44">
        <f t="shared" si="10"/>
        <v>43</v>
      </c>
      <c r="L41" s="47">
        <f t="shared" si="6"/>
        <v>25.308694173791316</v>
      </c>
      <c r="Q41" s="44">
        <f t="shared" si="11"/>
        <v>68</v>
      </c>
      <c r="R41" s="50">
        <f t="shared" si="3"/>
        <v>0.27309236947791166</v>
      </c>
      <c r="T41" s="44">
        <f t="shared" si="12"/>
        <v>33</v>
      </c>
      <c r="U41" s="46">
        <f t="shared" si="8"/>
        <v>91.4</v>
      </c>
    </row>
    <row r="42" spans="2:21" ht="13.5" thickBot="1" x14ac:dyDescent="0.25">
      <c r="B42" s="44">
        <v>50000</v>
      </c>
      <c r="C42" s="45">
        <f t="shared" ref="C42:C51" si="16">B42*(3.2808334)^3/60</f>
        <v>29428.714155571299</v>
      </c>
      <c r="K42" s="44">
        <f t="shared" si="10"/>
        <v>44</v>
      </c>
      <c r="L42" s="47">
        <f t="shared" si="6"/>
        <v>25.89726845690274</v>
      </c>
      <c r="Q42" s="51">
        <f t="shared" si="11"/>
        <v>70</v>
      </c>
      <c r="R42" s="55">
        <f t="shared" si="3"/>
        <v>0.28112449799196787</v>
      </c>
      <c r="T42" s="44">
        <f t="shared" si="12"/>
        <v>34</v>
      </c>
      <c r="U42" s="46">
        <f t="shared" si="8"/>
        <v>93.2</v>
      </c>
    </row>
    <row r="43" spans="2:21" x14ac:dyDescent="0.2">
      <c r="B43" s="44">
        <f>B42+50000</f>
        <v>100000</v>
      </c>
      <c r="C43" s="45">
        <f t="shared" si="16"/>
        <v>58857.428311142598</v>
      </c>
      <c r="K43" s="44">
        <f t="shared" si="10"/>
        <v>45</v>
      </c>
      <c r="L43" s="47">
        <f t="shared" si="6"/>
        <v>26.485842740014167</v>
      </c>
      <c r="T43" s="44">
        <f t="shared" si="12"/>
        <v>35</v>
      </c>
      <c r="U43" s="46">
        <f t="shared" si="8"/>
        <v>95</v>
      </c>
    </row>
    <row r="44" spans="2:21" x14ac:dyDescent="0.2">
      <c r="B44" s="44">
        <f t="shared" ref="B44:B50" si="17">B43+50000</f>
        <v>150000</v>
      </c>
      <c r="C44" s="45">
        <f t="shared" si="16"/>
        <v>88286.142466713893</v>
      </c>
      <c r="K44" s="44">
        <f t="shared" si="10"/>
        <v>46</v>
      </c>
      <c r="L44" s="47">
        <f t="shared" si="6"/>
        <v>27.074417023125594</v>
      </c>
      <c r="T44" s="44">
        <f t="shared" si="12"/>
        <v>36</v>
      </c>
      <c r="U44" s="46">
        <f t="shared" si="8"/>
        <v>96.8</v>
      </c>
    </row>
    <row r="45" spans="2:21" x14ac:dyDescent="0.2">
      <c r="B45" s="44">
        <f t="shared" si="17"/>
        <v>200000</v>
      </c>
      <c r="C45" s="45">
        <f t="shared" si="16"/>
        <v>117714.8566222852</v>
      </c>
      <c r="K45" s="44">
        <f t="shared" si="10"/>
        <v>47</v>
      </c>
      <c r="L45" s="47">
        <f t="shared" si="6"/>
        <v>27.662991306237018</v>
      </c>
      <c r="T45" s="44">
        <f t="shared" si="12"/>
        <v>37</v>
      </c>
      <c r="U45" s="46">
        <f t="shared" si="8"/>
        <v>98.6</v>
      </c>
    </row>
    <row r="46" spans="2:21" x14ac:dyDescent="0.2">
      <c r="B46" s="44">
        <f t="shared" si="17"/>
        <v>250000</v>
      </c>
      <c r="C46" s="45">
        <f t="shared" si="16"/>
        <v>147143.57077785648</v>
      </c>
      <c r="K46" s="44">
        <f t="shared" si="10"/>
        <v>48</v>
      </c>
      <c r="L46" s="47">
        <f t="shared" si="6"/>
        <v>28.251565589348445</v>
      </c>
      <c r="T46" s="44">
        <f t="shared" si="12"/>
        <v>38</v>
      </c>
      <c r="U46" s="46">
        <f t="shared" si="8"/>
        <v>100.4</v>
      </c>
    </row>
    <row r="47" spans="2:21" x14ac:dyDescent="0.2">
      <c r="B47" s="44">
        <f t="shared" si="17"/>
        <v>300000</v>
      </c>
      <c r="C47" s="45">
        <f t="shared" si="16"/>
        <v>176572.28493342779</v>
      </c>
      <c r="K47" s="44">
        <f t="shared" si="10"/>
        <v>49</v>
      </c>
      <c r="L47" s="47">
        <f t="shared" si="6"/>
        <v>28.840139872459872</v>
      </c>
      <c r="T47" s="44">
        <f t="shared" si="12"/>
        <v>39</v>
      </c>
      <c r="U47" s="46">
        <f t="shared" si="8"/>
        <v>102.2</v>
      </c>
    </row>
    <row r="48" spans="2:21" x14ac:dyDescent="0.2">
      <c r="B48" s="44">
        <f t="shared" si="17"/>
        <v>350000</v>
      </c>
      <c r="C48" s="45">
        <f t="shared" si="16"/>
        <v>206000.99908899906</v>
      </c>
      <c r="K48" s="44">
        <f t="shared" si="10"/>
        <v>50</v>
      </c>
      <c r="L48" s="47">
        <f t="shared" si="6"/>
        <v>29.428714155571296</v>
      </c>
      <c r="T48" s="44">
        <f t="shared" si="12"/>
        <v>40</v>
      </c>
      <c r="U48" s="46">
        <f t="shared" si="8"/>
        <v>104</v>
      </c>
    </row>
    <row r="49" spans="2:21" x14ac:dyDescent="0.2">
      <c r="B49" s="44">
        <f t="shared" si="17"/>
        <v>400000</v>
      </c>
      <c r="C49" s="45">
        <f t="shared" si="16"/>
        <v>235429.71324457039</v>
      </c>
      <c r="K49" s="44">
        <f t="shared" si="10"/>
        <v>51</v>
      </c>
      <c r="L49" s="47">
        <f t="shared" si="6"/>
        <v>30.017288438682723</v>
      </c>
      <c r="T49" s="44">
        <f t="shared" si="12"/>
        <v>41</v>
      </c>
      <c r="U49" s="46">
        <f t="shared" si="8"/>
        <v>105.8</v>
      </c>
    </row>
    <row r="50" spans="2:21" ht="13.5" thickBot="1" x14ac:dyDescent="0.25">
      <c r="B50" s="44">
        <f t="shared" si="17"/>
        <v>450000</v>
      </c>
      <c r="C50" s="45">
        <f t="shared" si="16"/>
        <v>264858.42740014166</v>
      </c>
      <c r="K50" s="44">
        <f t="shared" si="10"/>
        <v>52</v>
      </c>
      <c r="L50" s="47">
        <f t="shared" si="6"/>
        <v>30.60586272179415</v>
      </c>
      <c r="T50" s="51">
        <f t="shared" si="12"/>
        <v>42</v>
      </c>
      <c r="U50" s="52">
        <f t="shared" si="8"/>
        <v>107.6</v>
      </c>
    </row>
    <row r="51" spans="2:21" ht="13.5" thickBot="1" x14ac:dyDescent="0.25">
      <c r="B51" s="51">
        <f>B50+50000</f>
        <v>500000</v>
      </c>
      <c r="C51" s="56">
        <f t="shared" si="16"/>
        <v>294287.14155571297</v>
      </c>
      <c r="K51" s="51">
        <f t="shared" si="10"/>
        <v>53</v>
      </c>
      <c r="L51" s="57">
        <f t="shared" si="6"/>
        <v>31.194437004905573</v>
      </c>
    </row>
    <row r="52" spans="2:21" x14ac:dyDescent="0.2">
      <c r="M52" s="58"/>
      <c r="N52" s="58"/>
    </row>
    <row r="53" spans="2:21" hidden="1" x14ac:dyDescent="0.2"/>
    <row r="54" spans="2:21" hidden="1" x14ac:dyDescent="0.2"/>
    <row r="55" spans="2:21" hidden="1" x14ac:dyDescent="0.2">
      <c r="H55" s="53"/>
    </row>
    <row r="56" spans="2:21" hidden="1" x14ac:dyDescent="0.2">
      <c r="H56" s="53"/>
    </row>
    <row r="57" spans="2:21" hidden="1" x14ac:dyDescent="0.2">
      <c r="H57" s="53"/>
    </row>
    <row r="58" spans="2:21" hidden="1" x14ac:dyDescent="0.2">
      <c r="H58" s="53"/>
    </row>
    <row r="59" spans="2:21" hidden="1" x14ac:dyDescent="0.2">
      <c r="H59" s="53"/>
    </row>
    <row r="60" spans="2:21" hidden="1" x14ac:dyDescent="0.2">
      <c r="H60" s="53"/>
    </row>
  </sheetData>
  <sheetProtection sheet="1" objects="1" scenarios="1" selectLockedCells="1"/>
  <mergeCells count="7">
    <mergeCell ref="T5:U5"/>
    <mergeCell ref="B5:C5"/>
    <mergeCell ref="E5:F5"/>
    <mergeCell ref="H5:I5"/>
    <mergeCell ref="K5:L5"/>
    <mergeCell ref="N5:O5"/>
    <mergeCell ref="Q5:R5"/>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Ventilation Fan Cost Calculator</vt:lpstr>
      <vt:lpstr>Imperial to metric Conv.</vt:lpstr>
      <vt:lpstr>Metric to Imperial 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DAFF</dc:creator>
  <cp:lastModifiedBy>Felicity McIntosh</cp:lastModifiedBy>
  <cp:lastPrinted>2012-03-14T04:39:50Z</cp:lastPrinted>
  <dcterms:created xsi:type="dcterms:W3CDTF">2011-05-20T20:22:37Z</dcterms:created>
  <dcterms:modified xsi:type="dcterms:W3CDTF">2020-09-04T02:43:34Z</dcterms:modified>
</cp:coreProperties>
</file>