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webextensions/taskpanes.xml" ContentType="application/vnd.ms-office.webextensiontaskpanes+xml"/>
  <Override PartName="/xl/webextensions/webextension1.xml" ContentType="application/vnd.ms-office.webextension+xml"/>
  <Override PartName="/xl/externalLinks/externalLink1.xml" ContentType="application/vnd.openxmlformats-officedocument.spreadsheetml.externalLink+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comments2.xml" ContentType="application/vnd.openxmlformats-officedocument.spreadsheetml.comments+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xl/tables/table7.xml" ContentType="application/vnd.openxmlformats-officedocument.spreadsheetml.table+xml"/>
  <Override PartName="/xl/tables/table8.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comments3.xml" ContentType="application/vnd.openxmlformats-officedocument.spreadsheetml.comment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https://vicgov-my.sharepoint.com/personal/nick_ohalloran_agriculture_vic_gov_au/Documents/CMA energy calculator/Pivot tool/"/>
    </mc:Choice>
  </mc:AlternateContent>
  <xr:revisionPtr revIDLastSave="6995" documentId="8_{82B88973-6049-4893-8D80-EC020E046A69}" xr6:coauthVersionLast="47" xr6:coauthVersionMax="47" xr10:uidLastSave="{0AD2D6C6-7138-40AB-A701-84BBFCADD33F}"/>
  <bookViews>
    <workbookView xWindow="1275" yWindow="-120" windowWidth="24045" windowHeight="15990" tabRatio="666" xr2:uid="{993FEF21-6C89-4590-8C7B-73D453435F1D}"/>
  </bookViews>
  <sheets>
    <sheet name="Introduction" sheetId="27" r:id="rId1"/>
    <sheet name="STEP 1 Benchmark" sheetId="30" r:id="rId2"/>
    <sheet name="STEP 2 Detailed analysis" sheetId="21" r:id="rId3"/>
    <sheet name="System analysis report" sheetId="26" r:id="rId4"/>
    <sheet name="Help - Step 1" sheetId="36" r:id="rId5"/>
    <sheet name="Help - Step data input" sheetId="37" r:id="rId6"/>
    <sheet name="Help - Step interpretation" sheetId="38" r:id="rId7"/>
    <sheet name="Help - Report" sheetId="39" r:id="rId8"/>
    <sheet name="Endguns" sheetId="22" state="hidden" r:id="rId9"/>
    <sheet name="Endgun models" sheetId="25" state="hidden" r:id="rId10"/>
    <sheet name="data for graph" sheetId="29" state="hidden" r:id="rId11"/>
    <sheet name="Solutions" sheetId="24" state="hidden" r:id="rId12"/>
  </sheets>
  <externalReferences>
    <externalReference r:id="rId13"/>
  </externalReferences>
  <definedNames>
    <definedName name="Aluminium" localSheetId="9">[1]!Table2[Aluminium]</definedName>
    <definedName name="Aluminium" localSheetId="2">#REF!</definedName>
    <definedName name="Aluminium">#REF!</definedName>
    <definedName name="AluminiumNA" localSheetId="9">[1]!Table10[AluminiumNA]</definedName>
    <definedName name="AluminiumNA" localSheetId="2">#REF!</definedName>
    <definedName name="AluminiumNA">#REF!</definedName>
    <definedName name="AsbestosCement" localSheetId="9">[1]!Table3[AsbestosCement]</definedName>
    <definedName name="AsbestosCement" localSheetId="2">#REF!</definedName>
    <definedName name="AsbestosCement">#REF!</definedName>
    <definedName name="AsbestosCementA" localSheetId="9">[1]!Table11[AsbestosCementA]</definedName>
    <definedName name="AsbestosCementA" localSheetId="2">#REF!</definedName>
    <definedName name="AsbestosCementA">#REF!</definedName>
    <definedName name="AsbestosCementB" localSheetId="9">[1]!Table12[AsbestosCementB]</definedName>
    <definedName name="AsbestosCementB" localSheetId="2">#REF!</definedName>
    <definedName name="AsbestosCementB">#REF!</definedName>
    <definedName name="AsbestosCementC" localSheetId="9">[1]!Table13[AsbestosCementC]</definedName>
    <definedName name="AsbestosCementC" localSheetId="2">#REF!</definedName>
    <definedName name="AsbestosCementC">#REF!</definedName>
    <definedName name="AsbestosCementD" localSheetId="9">[1]!Table14[AsbestosCementD]</definedName>
    <definedName name="AsbestosCementD" localSheetId="2">#REF!</definedName>
    <definedName name="AsbestosCementD">#REF!</definedName>
    <definedName name="AsbestosCementE" localSheetId="9">[1]!Table15[AsbestosCementE]</definedName>
    <definedName name="AsbestosCementE" localSheetId="2">#REF!</definedName>
    <definedName name="AsbestosCementE">#REF!</definedName>
    <definedName name="AsbestosCementF" localSheetId="9">[1]!Table16[AsbestosCementF]</definedName>
    <definedName name="AsbestosCementF" localSheetId="2">#REF!</definedName>
    <definedName name="AsbestosCementF">#REF!</definedName>
    <definedName name="ff" localSheetId="9">[1]!Table12[AsbestosCementB]</definedName>
    <definedName name="ff" localSheetId="2">#REF!</definedName>
    <definedName name="ff">#REF!</definedName>
    <definedName name="FloodPoly" localSheetId="9">[1]!Table4[FloodPoly]</definedName>
    <definedName name="FloodPoly" localSheetId="2">#REF!</definedName>
    <definedName name="FloodPoly">#REF!</definedName>
    <definedName name="FloodPolyNA" localSheetId="9">[1]!Table17[FloodPolyNA]</definedName>
    <definedName name="FloodPolyNA" localSheetId="2">#REF!</definedName>
    <definedName name="FloodPolyNA">#REF!</definedName>
    <definedName name="LowDensityPoly" localSheetId="9">[1]!Table5[LowDensityPoly]</definedName>
    <definedName name="LowDensityPoly" localSheetId="2">#REF!</definedName>
    <definedName name="LowDensityPoly">#REF!</definedName>
    <definedName name="LowdensitypolyNA" localSheetId="9">[1]!Table18[LowdensitypolyNA]</definedName>
    <definedName name="LowdensitypolyNA" localSheetId="2">#REF!</definedName>
    <definedName name="LowdensitypolyNA">#REF!</definedName>
    <definedName name="Materials" localSheetId="9">[1]!Table1[Materials]</definedName>
    <definedName name="Materials" localSheetId="2">#REF!</definedName>
    <definedName name="Materials">#REF!</definedName>
    <definedName name="MetricPoly" localSheetId="9">[1]!Table6[PolyPE80]</definedName>
    <definedName name="MetricPoly" localSheetId="2">#REF!</definedName>
    <definedName name="MetricPoly">#REF!</definedName>
    <definedName name="MetricPolyPN10" localSheetId="9">[1]!Table19[PolyPE80PN10]</definedName>
    <definedName name="MetricPolyPN10" localSheetId="2">#REF!</definedName>
    <definedName name="MetricPolyPN10">#REF!</definedName>
    <definedName name="MetricPolyPN12" localSheetId="9">[1]!Table20[PolyPE80PN12]</definedName>
    <definedName name="MetricPolyPN12" localSheetId="2">#REF!</definedName>
    <definedName name="MetricPolyPN12">#REF!</definedName>
    <definedName name="MetricPolyPN12.5" localSheetId="9">[1]!Table21[PolyPE80PN12.5]</definedName>
    <definedName name="MetricPolyPN12.5" localSheetId="2">#REF!</definedName>
    <definedName name="MetricPolyPN12.5">#REF!</definedName>
    <definedName name="MetricPolyPN15" localSheetId="9">[1]!Table22[PolyPE80PN15]</definedName>
    <definedName name="MetricPolyPN15" localSheetId="2">#REF!</definedName>
    <definedName name="MetricPolyPN15">#REF!</definedName>
    <definedName name="MetricPolyPN16" localSheetId="9">[1]!Table23[PolyPE80PN16]</definedName>
    <definedName name="MetricPolyPN16" localSheetId="2">#REF!</definedName>
    <definedName name="MetricPolyPN16">#REF!</definedName>
    <definedName name="MetricPolyPN4" localSheetId="9">[1]!Table24[PolyPE80PN4]</definedName>
    <definedName name="MetricPolyPN4" localSheetId="2">#REF!</definedName>
    <definedName name="MetricPolyPN4">#REF!</definedName>
    <definedName name="MetricPolyPN4.5" localSheetId="9">[1]!Table25[PolyPE80PN4.5]</definedName>
    <definedName name="MetricPolyPN4.5" localSheetId="2">#REF!</definedName>
    <definedName name="MetricPolyPN4.5">#REF!</definedName>
    <definedName name="MetricPolyPN6" localSheetId="9">[1]!Table26[PolyPE80PN6]</definedName>
    <definedName name="MetricPolyPN6" localSheetId="2">#REF!</definedName>
    <definedName name="MetricPolyPN6">#REF!</definedName>
    <definedName name="MetricPolyPN6.3" localSheetId="9">[1]!Table27[PolyPE80PN6.3]</definedName>
    <definedName name="MetricPolyPN6.3" localSheetId="2">#REF!</definedName>
    <definedName name="MetricPolyPN6.3">#REF!</definedName>
    <definedName name="MetricPolyPN8" localSheetId="9">[1]!Table28[PolyPE80PN8]</definedName>
    <definedName name="MetricPolyPN8" localSheetId="2">#REF!</definedName>
    <definedName name="MetricPolyPN8">#REF!</definedName>
    <definedName name="MetricPolyPN9" localSheetId="9">[1]!Table29[PolyPE80PN9]</definedName>
    <definedName name="MetricPolyPN9" localSheetId="2">#REF!</definedName>
    <definedName name="MetricPolyPN9">#REF!</definedName>
    <definedName name="PolyPE100">[1]!Table649[PolyPE100]</definedName>
    <definedName name="PolyPE100PN10">[1]!Table1955[PolyPE100PN10]</definedName>
    <definedName name="PolyPE100PN12">#REF!</definedName>
    <definedName name="PolyPE100PN12.5">[1]!Table2157[PolyPE100PN12.5]</definedName>
    <definedName name="PolyPE100PN15">#REF!</definedName>
    <definedName name="PolyPE100PN16">[1]!Table2359[PolyPE100PN16]</definedName>
    <definedName name="PolyPE100PN20">[1]!Table2561[PolyPE100PN20]</definedName>
    <definedName name="PolyPE100PN4">[1]!Table2460[PolyPE100PN4]</definedName>
    <definedName name="PolyPE100PN4.5">[1]!Table2561[PolyPE100PN20]</definedName>
    <definedName name="PolyPE100PN6">#REF!</definedName>
    <definedName name="PolyPE100PN6.3">[1]!Table2763[PolyPE100PN6.3]</definedName>
    <definedName name="PolyPE100PN8">[1]!Table2864[PolyPE100PN8]</definedName>
    <definedName name="PolyPE100PN9">#REF!</definedName>
    <definedName name="PolyPE80">[1]!Table6[PolyPE80]</definedName>
    <definedName name="PolyPE80PN10">[1]!Table19[PolyPE80PN10]</definedName>
    <definedName name="PolyPE80PN12">[1]!Table20[PolyPE80PN12]</definedName>
    <definedName name="PolyPE80PN12.5">[1]!Table21[PolyPE80PN12.5]</definedName>
    <definedName name="PolyPE80PN15">[1]!Table22[PolyPE80PN15]</definedName>
    <definedName name="PolyPE80PN16">[1]!Table23[PolyPE80PN16]</definedName>
    <definedName name="PolyPE80PN3.2">[1]!Table65[[#Headers],[PolyPE80PN3.2]]</definedName>
    <definedName name="PolyPE80PN4">[1]!Table24[PolyPE80PN4]</definedName>
    <definedName name="PolyPE80PN4.5">[1]!Table25[PolyPE80PN4.5]</definedName>
    <definedName name="PolyPE80PN6">[1]!Table26[PolyPE80PN6]</definedName>
    <definedName name="PolyPE80PN6.3">[1]!Table27[PolyPE80PN6.3]</definedName>
    <definedName name="PolyPE80PN8">[1]!Table28[PolyPE80PN8]</definedName>
    <definedName name="PolyPE80PN9">[1]!Table29[PolyPE80PN9]</definedName>
    <definedName name="PVCM" localSheetId="9">[1]!Table7[PVCM]</definedName>
    <definedName name="PVCM" localSheetId="2">#REF!</definedName>
    <definedName name="PVCM">#REF!</definedName>
    <definedName name="PVCMPN12" localSheetId="9">[1]!Table30[PVCMPN12]</definedName>
    <definedName name="PVCMPN12" localSheetId="2">#REF!</definedName>
    <definedName name="PVCMPN12">#REF!</definedName>
    <definedName name="PVCMPN15" localSheetId="9">[1]!Table31[PVCMPN15]</definedName>
    <definedName name="PVCMPN15" localSheetId="2">#REF!</definedName>
    <definedName name="PVCMPN15">#REF!</definedName>
    <definedName name="PVCMPN18" localSheetId="9">[1]!Table32[PVCMPN18]</definedName>
    <definedName name="PVCMPN18" localSheetId="2">#REF!</definedName>
    <definedName name="PVCMPN18">#REF!</definedName>
    <definedName name="PVCMPN6" localSheetId="9">[1]!Table33[PVCMPN6]</definedName>
    <definedName name="PVCMPN6" localSheetId="2">#REF!</definedName>
    <definedName name="PVCMPN6">#REF!</definedName>
    <definedName name="PVCMPN9" localSheetId="9">[1]!Table34[PVCMPN9]</definedName>
    <definedName name="PVCMPN9" localSheetId="2">#REF!</definedName>
    <definedName name="PVCMPN9">#REF!</definedName>
    <definedName name="PVCU" localSheetId="9">[1]!Table8[PVCU]</definedName>
    <definedName name="PVCU" localSheetId="2">#REF!</definedName>
    <definedName name="PVCU">#REF!</definedName>
    <definedName name="PVCUPN12" localSheetId="9">[1]!Table35[PVCUPN12]</definedName>
    <definedName name="PVCUPN12" localSheetId="2">#REF!</definedName>
    <definedName name="PVCUPN12">#REF!</definedName>
    <definedName name="PVCUPN15" localSheetId="9">[1]!Table36[PVCUPN15]</definedName>
    <definedName name="PVCUPN15" localSheetId="2">#REF!</definedName>
    <definedName name="PVCUPN15">#REF!</definedName>
    <definedName name="PVCUPN18" localSheetId="9">[1]!Table37[PVCUPN18]</definedName>
    <definedName name="PVCUPN18" localSheetId="2">#REF!</definedName>
    <definedName name="PVCUPN18">#REF!</definedName>
    <definedName name="PVCUPN4.5" localSheetId="9">[1]!Table38[PVCUPN4.5]</definedName>
    <definedName name="PVCUPN4.5" localSheetId="2">#REF!</definedName>
    <definedName name="PVCUPN4.5">#REF!</definedName>
    <definedName name="PVCUPN6" localSheetId="9">[1]!Table39[PVCUPN6]</definedName>
    <definedName name="PVCUPN6" localSheetId="2">#REF!</definedName>
    <definedName name="PVCUPN6">#REF!</definedName>
    <definedName name="PVCUPN9" localSheetId="9">[1]!Table40[PVCUPN9]</definedName>
    <definedName name="PVCUPN9" localSheetId="2">#REF!</definedName>
    <definedName name="PVCUPN9">#REF!</definedName>
    <definedName name="RuralPoly" localSheetId="9">[1]!Table9[RuralPoly]</definedName>
    <definedName name="RuralPoly" localSheetId="2">#REF!</definedName>
    <definedName name="RuralPoly">#REF!</definedName>
    <definedName name="RuralPolyNA" localSheetId="9">[1]!Table41[RuralPolyNA]</definedName>
    <definedName name="RuralPolyNA" localSheetId="2">#REF!</definedName>
    <definedName name="RuralPolyN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9" i="21" l="1"/>
  <c r="Q23" i="21" l="1"/>
  <c r="AW41" i="21"/>
  <c r="BG27" i="21"/>
  <c r="D12" i="21" l="1"/>
  <c r="AW34" i="21" s="1"/>
  <c r="BG35" i="21"/>
  <c r="G40" i="26" l="1"/>
  <c r="K42" i="26"/>
  <c r="AW28" i="21"/>
  <c r="AW27" i="21" s="1"/>
  <c r="N66" i="29" a="1"/>
  <c r="N66" i="29" s="1"/>
  <c r="N64" i="29" a="1"/>
  <c r="N64" i="29" s="1"/>
  <c r="AD55" i="29" a="1"/>
  <c r="AD55" i="29" s="1"/>
  <c r="AD54" i="29" a="1"/>
  <c r="AD54" i="29" s="1"/>
  <c r="N54" i="29" a="1"/>
  <c r="N54" i="29" s="1"/>
  <c r="AD53" i="29" a="1"/>
  <c r="AD53" i="29" s="1"/>
  <c r="AD46" i="29" a="1"/>
  <c r="AD46" i="29" s="1"/>
  <c r="AD50" i="29" a="1"/>
  <c r="AD50" i="29" s="1"/>
  <c r="AD47" i="29" a="1"/>
  <c r="AD47" i="29" s="1"/>
  <c r="AD45" i="29" a="1"/>
  <c r="AD45" i="29" s="1"/>
  <c r="N38" i="29" a="1"/>
  <c r="N38" i="29" s="1"/>
  <c r="AD36" i="29" a="1"/>
  <c r="AD36" i="29" s="1"/>
  <c r="Z44" i="29" a="1"/>
  <c r="Z44" i="29" s="1"/>
  <c r="AD41" i="29" a="1"/>
  <c r="AD41" i="29" s="1"/>
  <c r="AD43" i="29" a="1"/>
  <c r="AD43" i="29" s="1"/>
  <c r="AD39" i="29" a="1"/>
  <c r="AD39" i="29" s="1"/>
  <c r="AD40" i="29" a="1"/>
  <c r="AD40" i="29" s="1"/>
  <c r="AD42" i="29" a="1"/>
  <c r="AD42" i="29" s="1"/>
  <c r="AD35" i="29" a="1"/>
  <c r="AD35" i="29" s="1"/>
  <c r="AD34" i="29" a="1"/>
  <c r="AD34" i="29" s="1"/>
  <c r="AD33" i="29" a="1"/>
  <c r="AD33" i="29" s="1"/>
  <c r="AD32" i="29" a="1"/>
  <c r="AD32" i="29" s="1"/>
  <c r="AD28" i="29" a="1"/>
  <c r="AD28" i="29" s="1"/>
  <c r="AD29" i="29" a="1"/>
  <c r="AD29" i="29" s="1"/>
  <c r="AD31" i="29" a="1"/>
  <c r="AD31" i="29" s="1"/>
  <c r="AD30" i="29" a="1"/>
  <c r="AD30" i="29" s="1"/>
  <c r="N30" i="29" a="1"/>
  <c r="N30" i="29" s="1"/>
  <c r="AD25" i="29" a="1"/>
  <c r="AD25" i="29" s="1"/>
  <c r="AD22" i="29" a="1"/>
  <c r="AD22" i="29" s="1"/>
  <c r="AD23" i="29" a="1"/>
  <c r="AD23" i="29" s="1"/>
  <c r="AD27" i="29" a="1"/>
  <c r="AD27" i="29" s="1"/>
  <c r="N24" i="29" a="1"/>
  <c r="N24" i="29" s="1"/>
  <c r="T22" i="29" a="1"/>
  <c r="T22" i="29" s="1"/>
  <c r="AD20" i="29" a="1"/>
  <c r="AD20" i="29" s="1"/>
  <c r="Z27" i="29" a="1"/>
  <c r="Z27" i="29" s="1"/>
  <c r="AD24" i="29" a="1"/>
  <c r="AD24" i="29" s="1"/>
  <c r="AD26" i="29" a="1"/>
  <c r="AD26" i="29" s="1"/>
  <c r="AD21" i="29" a="1"/>
  <c r="AD21" i="29" s="1"/>
  <c r="T14" i="29" a="1"/>
  <c r="T14" i="29" s="1"/>
  <c r="AD18" i="29" a="1"/>
  <c r="AD18" i="29" s="1"/>
  <c r="AD17" i="29" a="1"/>
  <c r="AD17" i="29" s="1"/>
  <c r="AD16" i="29" a="1"/>
  <c r="AD16" i="29" s="1"/>
  <c r="T18" i="29" a="1"/>
  <c r="T18" i="29" s="1"/>
  <c r="Z17" i="29" a="1"/>
  <c r="Z17" i="29" s="1"/>
  <c r="AD19" i="29" a="1"/>
  <c r="AD19" i="29" s="1"/>
  <c r="N18" i="29" a="1"/>
  <c r="N18" i="29" s="1"/>
  <c r="AD12" i="29" a="1"/>
  <c r="AD12" i="29" s="1"/>
  <c r="AD14" i="29" a="1"/>
  <c r="AD14" i="29" s="1"/>
  <c r="AD13" i="29" a="1"/>
  <c r="AD13" i="29" s="1"/>
  <c r="AD15" i="29" a="1"/>
  <c r="AD15" i="29" s="1"/>
  <c r="T12" i="29" a="1"/>
  <c r="T12" i="29" s="1"/>
  <c r="AC55" i="29"/>
  <c r="AB55" i="29"/>
  <c r="Y55" i="29"/>
  <c r="X55" i="29"/>
  <c r="Z55" i="29" s="1" a="1"/>
  <c r="Z55" i="29" s="1"/>
  <c r="AC54" i="29"/>
  <c r="AB54" i="29"/>
  <c r="Y54" i="29"/>
  <c r="X54" i="29"/>
  <c r="Z54" i="29" s="1" a="1"/>
  <c r="Z54" i="29" s="1"/>
  <c r="AC53" i="29"/>
  <c r="AB53" i="29"/>
  <c r="Y53" i="29"/>
  <c r="X53" i="29"/>
  <c r="Z53" i="29" s="1" a="1"/>
  <c r="Z53" i="29" s="1"/>
  <c r="AC52" i="29"/>
  <c r="AB52" i="29"/>
  <c r="AD52" i="29" s="1" a="1"/>
  <c r="AD52" i="29" s="1"/>
  <c r="Y52" i="29"/>
  <c r="X52" i="29"/>
  <c r="Z52" i="29" s="1" a="1"/>
  <c r="Z52" i="29" s="1"/>
  <c r="AC51" i="29"/>
  <c r="AB51" i="29"/>
  <c r="AD51" i="29" s="1" a="1"/>
  <c r="AD51" i="29" s="1"/>
  <c r="Y51" i="29"/>
  <c r="X51" i="29"/>
  <c r="Z51" i="29" s="1" a="1"/>
  <c r="Z51" i="29" s="1"/>
  <c r="AC50" i="29"/>
  <c r="AB50" i="29"/>
  <c r="Y50" i="29"/>
  <c r="X50" i="29"/>
  <c r="Z50" i="29" s="1" a="1"/>
  <c r="Z50" i="29" s="1"/>
  <c r="AC49" i="29"/>
  <c r="AB49" i="29"/>
  <c r="AD49" i="29" s="1" a="1"/>
  <c r="AD49" i="29" s="1"/>
  <c r="Y49" i="29"/>
  <c r="X49" i="29"/>
  <c r="Z49" i="29" s="1" a="1"/>
  <c r="Z49" i="29" s="1"/>
  <c r="AC48" i="29"/>
  <c r="AB48" i="29"/>
  <c r="AD48" i="29" s="1" a="1"/>
  <c r="AD48" i="29" s="1"/>
  <c r="Y48" i="29"/>
  <c r="X48" i="29"/>
  <c r="Z48" i="29" s="1" a="1"/>
  <c r="Z48" i="29" s="1"/>
  <c r="AC47" i="29"/>
  <c r="AB47" i="29"/>
  <c r="Y47" i="29"/>
  <c r="X47" i="29"/>
  <c r="Z47" i="29" s="1" a="1"/>
  <c r="Z47" i="29" s="1"/>
  <c r="AC46" i="29"/>
  <c r="AB46" i="29"/>
  <c r="Y46" i="29"/>
  <c r="X46" i="29"/>
  <c r="Z46" i="29" s="1" a="1"/>
  <c r="Z46" i="29" s="1"/>
  <c r="AC45" i="29"/>
  <c r="AB45" i="29"/>
  <c r="Y45" i="29"/>
  <c r="X45" i="29"/>
  <c r="Z45" i="29" s="1" a="1"/>
  <c r="Z45" i="29" s="1"/>
  <c r="AC44" i="29"/>
  <c r="AB44" i="29"/>
  <c r="AD44" i="29" s="1" a="1"/>
  <c r="AD44" i="29" s="1"/>
  <c r="Y44" i="29"/>
  <c r="X44" i="29"/>
  <c r="AC43" i="29"/>
  <c r="AB43" i="29"/>
  <c r="Y43" i="29"/>
  <c r="X43" i="29"/>
  <c r="Z43" i="29" s="1" a="1"/>
  <c r="Z43" i="29" s="1"/>
  <c r="AC42" i="29"/>
  <c r="AB42" i="29"/>
  <c r="Y42" i="29"/>
  <c r="X42" i="29"/>
  <c r="Z42" i="29" s="1" a="1"/>
  <c r="Z42" i="29" s="1"/>
  <c r="AC41" i="29"/>
  <c r="AB41" i="29"/>
  <c r="Y41" i="29"/>
  <c r="X41" i="29"/>
  <c r="Z41" i="29" s="1" a="1"/>
  <c r="Z41" i="29" s="1"/>
  <c r="AC40" i="29"/>
  <c r="AB40" i="29"/>
  <c r="Y40" i="29"/>
  <c r="X40" i="29"/>
  <c r="Z40" i="29" s="1" a="1"/>
  <c r="Z40" i="29" s="1"/>
  <c r="AC39" i="29"/>
  <c r="AB39" i="29"/>
  <c r="Y39" i="29"/>
  <c r="X39" i="29"/>
  <c r="Z39" i="29" s="1" a="1"/>
  <c r="Z39" i="29" s="1"/>
  <c r="AC38" i="29"/>
  <c r="AB38" i="29"/>
  <c r="AD38" i="29" s="1" a="1"/>
  <c r="AD38" i="29" s="1"/>
  <c r="Y38" i="29"/>
  <c r="X38" i="29"/>
  <c r="Z38" i="29" s="1" a="1"/>
  <c r="Z38" i="29" s="1"/>
  <c r="AC37" i="29"/>
  <c r="AB37" i="29"/>
  <c r="AD37" i="29" s="1" a="1"/>
  <c r="AD37" i="29" s="1"/>
  <c r="Y37" i="29"/>
  <c r="X37" i="29"/>
  <c r="Z37" i="29" s="1" a="1"/>
  <c r="Z37" i="29" s="1"/>
  <c r="AC36" i="29"/>
  <c r="AB36" i="29"/>
  <c r="Y36" i="29"/>
  <c r="X36" i="29"/>
  <c r="Z36" i="29" s="1" a="1"/>
  <c r="Z36" i="29" s="1"/>
  <c r="AC35" i="29"/>
  <c r="AB35" i="29"/>
  <c r="Y35" i="29"/>
  <c r="X35" i="29"/>
  <c r="Z35" i="29" s="1" a="1"/>
  <c r="Z35" i="29" s="1"/>
  <c r="AC34" i="29"/>
  <c r="AB34" i="29"/>
  <c r="Y34" i="29"/>
  <c r="X34" i="29"/>
  <c r="Z34" i="29" s="1" a="1"/>
  <c r="Z34" i="29" s="1"/>
  <c r="AC33" i="29"/>
  <c r="AB33" i="29"/>
  <c r="Y33" i="29"/>
  <c r="X33" i="29"/>
  <c r="Z33" i="29" s="1" a="1"/>
  <c r="Z33" i="29" s="1"/>
  <c r="AC32" i="29"/>
  <c r="AB32" i="29"/>
  <c r="Y32" i="29"/>
  <c r="X32" i="29"/>
  <c r="Z32" i="29" s="1" a="1"/>
  <c r="Z32" i="29" s="1"/>
  <c r="AC31" i="29"/>
  <c r="AB31" i="29"/>
  <c r="Y31" i="29"/>
  <c r="X31" i="29"/>
  <c r="Z31" i="29" s="1" a="1"/>
  <c r="Z31" i="29" s="1"/>
  <c r="AC30" i="29"/>
  <c r="AB30" i="29"/>
  <c r="Y30" i="29"/>
  <c r="X30" i="29"/>
  <c r="Z30" i="29" s="1" a="1"/>
  <c r="Z30" i="29" s="1"/>
  <c r="AC29" i="29"/>
  <c r="AB29" i="29"/>
  <c r="Y29" i="29"/>
  <c r="X29" i="29"/>
  <c r="Z29" i="29" s="1" a="1"/>
  <c r="Z29" i="29" s="1"/>
  <c r="AC28" i="29"/>
  <c r="AB28" i="29"/>
  <c r="Y28" i="29"/>
  <c r="X28" i="29"/>
  <c r="Z28" i="29" s="1" a="1"/>
  <c r="Z28" i="29" s="1"/>
  <c r="AC27" i="29"/>
  <c r="AB27" i="29"/>
  <c r="Y27" i="29"/>
  <c r="X27" i="29"/>
  <c r="AC26" i="29"/>
  <c r="AB26" i="29"/>
  <c r="Y26" i="29"/>
  <c r="X26" i="29"/>
  <c r="Z26" i="29" s="1" a="1"/>
  <c r="Z26" i="29" s="1"/>
  <c r="AC25" i="29"/>
  <c r="AB25" i="29"/>
  <c r="Y25" i="29"/>
  <c r="X25" i="29"/>
  <c r="Z25" i="29" s="1" a="1"/>
  <c r="Z25" i="29" s="1"/>
  <c r="AC24" i="29"/>
  <c r="AB24" i="29"/>
  <c r="Y24" i="29"/>
  <c r="X24" i="29"/>
  <c r="Z24" i="29" s="1" a="1"/>
  <c r="Z24" i="29" s="1"/>
  <c r="AC23" i="29"/>
  <c r="AB23" i="29"/>
  <c r="Y23" i="29"/>
  <c r="X23" i="29"/>
  <c r="Z23" i="29" s="1" a="1"/>
  <c r="Z23" i="29" s="1"/>
  <c r="AC22" i="29"/>
  <c r="AB22" i="29"/>
  <c r="Y22" i="29"/>
  <c r="X22" i="29"/>
  <c r="Z22" i="29" s="1" a="1"/>
  <c r="Z22" i="29" s="1"/>
  <c r="AC21" i="29"/>
  <c r="AB21" i="29"/>
  <c r="Y21" i="29"/>
  <c r="X21" i="29"/>
  <c r="Z21" i="29" s="1" a="1"/>
  <c r="Z21" i="29" s="1"/>
  <c r="AC20" i="29"/>
  <c r="AB20" i="29"/>
  <c r="Y20" i="29"/>
  <c r="X20" i="29"/>
  <c r="Z20" i="29" s="1" a="1"/>
  <c r="Z20" i="29" s="1"/>
  <c r="AC19" i="29"/>
  <c r="AB19" i="29"/>
  <c r="Y19" i="29"/>
  <c r="X19" i="29"/>
  <c r="Z19" i="29" s="1" a="1"/>
  <c r="Z19" i="29" s="1"/>
  <c r="AC18" i="29"/>
  <c r="AB18" i="29"/>
  <c r="Y18" i="29"/>
  <c r="X18" i="29"/>
  <c r="Z18" i="29" s="1" a="1"/>
  <c r="Z18" i="29" s="1"/>
  <c r="AC17" i="29"/>
  <c r="AB17" i="29"/>
  <c r="Y17" i="29"/>
  <c r="X17" i="29"/>
  <c r="AC16" i="29"/>
  <c r="AB16" i="29"/>
  <c r="Y16" i="29"/>
  <c r="X16" i="29"/>
  <c r="Z16" i="29" s="1" a="1"/>
  <c r="Z16" i="29" s="1"/>
  <c r="AC15" i="29"/>
  <c r="AB15" i="29"/>
  <c r="Y15" i="29"/>
  <c r="X15" i="29"/>
  <c r="Z15" i="29" s="1" a="1"/>
  <c r="Z15" i="29" s="1"/>
  <c r="AC14" i="29"/>
  <c r="AB14" i="29"/>
  <c r="Y14" i="29"/>
  <c r="X14" i="29"/>
  <c r="Z14" i="29" s="1" a="1"/>
  <c r="Z14" i="29" s="1"/>
  <c r="AC13" i="29"/>
  <c r="AB13" i="29"/>
  <c r="Y13" i="29"/>
  <c r="X13" i="29"/>
  <c r="Z13" i="29" s="1" a="1"/>
  <c r="Z13" i="29" s="1"/>
  <c r="AC12" i="29"/>
  <c r="AB12" i="29"/>
  <c r="Y12" i="29"/>
  <c r="X12" i="29"/>
  <c r="Z12" i="29" s="1" a="1"/>
  <c r="Z12" i="29" s="1"/>
  <c r="AC11" i="29"/>
  <c r="AB11" i="29"/>
  <c r="AD11" i="29" s="1" a="1"/>
  <c r="AD11" i="29" s="1"/>
  <c r="Y11" i="29"/>
  <c r="X11" i="29"/>
  <c r="Z11" i="29" s="1" a="1"/>
  <c r="Z11" i="29" s="1"/>
  <c r="AC10" i="29"/>
  <c r="AB10" i="29"/>
  <c r="AD10" i="29" s="1" a="1"/>
  <c r="AD10" i="29" s="1"/>
  <c r="Y10" i="29"/>
  <c r="X10" i="29"/>
  <c r="Z10" i="29" s="1" a="1"/>
  <c r="Z10" i="29" s="1"/>
  <c r="AC9" i="29"/>
  <c r="AB9" i="29"/>
  <c r="AD9" i="29" s="1" a="1"/>
  <c r="AD9" i="29" s="1"/>
  <c r="Y9" i="29"/>
  <c r="X9" i="29"/>
  <c r="Z9" i="29" s="1" a="1"/>
  <c r="Z9" i="29" s="1"/>
  <c r="AC8" i="29"/>
  <c r="AB8" i="29"/>
  <c r="AD8" i="29" s="1" a="1"/>
  <c r="AD8" i="29" s="1"/>
  <c r="Y8" i="29"/>
  <c r="X8" i="29"/>
  <c r="Z8" i="29" s="1" a="1"/>
  <c r="Z8" i="29" s="1"/>
  <c r="AC7" i="29"/>
  <c r="AB7" i="29"/>
  <c r="AD7" i="29" s="1" a="1"/>
  <c r="AD7" i="29" s="1"/>
  <c r="Y7" i="29"/>
  <c r="X7" i="29"/>
  <c r="Z7" i="29" s="1" a="1"/>
  <c r="Z7" i="29" s="1"/>
  <c r="AC6" i="29"/>
  <c r="AB6" i="29"/>
  <c r="AD6" i="29" s="1" a="1"/>
  <c r="AD6" i="29" s="1"/>
  <c r="Y6" i="29"/>
  <c r="X6" i="29"/>
  <c r="Z6" i="29" s="1" a="1"/>
  <c r="Z6" i="29" s="1"/>
  <c r="AD5" i="29"/>
  <c r="S73" i="29"/>
  <c r="R73" i="29"/>
  <c r="T73" i="29" s="1" a="1"/>
  <c r="T73" i="29" s="1"/>
  <c r="S72" i="29"/>
  <c r="R72" i="29"/>
  <c r="T72" i="29" s="1" a="1"/>
  <c r="T72" i="29" s="1"/>
  <c r="S71" i="29"/>
  <c r="R71" i="29"/>
  <c r="T71" i="29" s="1" a="1"/>
  <c r="T71" i="29" s="1"/>
  <c r="S70" i="29"/>
  <c r="R70" i="29"/>
  <c r="T70" i="29" s="1" a="1"/>
  <c r="T70" i="29" s="1"/>
  <c r="S69" i="29"/>
  <c r="R69" i="29"/>
  <c r="T69" i="29" s="1" a="1"/>
  <c r="T69" i="29" s="1"/>
  <c r="S68" i="29"/>
  <c r="R68" i="29"/>
  <c r="T68" i="29" s="1" a="1"/>
  <c r="T68" i="29" s="1"/>
  <c r="S67" i="29"/>
  <c r="R67" i="29"/>
  <c r="T67" i="29" s="1" a="1"/>
  <c r="T67" i="29" s="1"/>
  <c r="S66" i="29"/>
  <c r="R66" i="29"/>
  <c r="T66" i="29" s="1" a="1"/>
  <c r="T66" i="29" s="1"/>
  <c r="S65" i="29"/>
  <c r="R65" i="29"/>
  <c r="T65" i="29" s="1" a="1"/>
  <c r="T65" i="29" s="1"/>
  <c r="S64" i="29"/>
  <c r="R64" i="29"/>
  <c r="T64" i="29" s="1" a="1"/>
  <c r="T64" i="29" s="1"/>
  <c r="S63" i="29"/>
  <c r="R63" i="29"/>
  <c r="T63" i="29" s="1" a="1"/>
  <c r="T63" i="29" s="1"/>
  <c r="S62" i="29"/>
  <c r="R62" i="29"/>
  <c r="T62" i="29" s="1" a="1"/>
  <c r="T62" i="29" s="1"/>
  <c r="S61" i="29"/>
  <c r="R61" i="29"/>
  <c r="T61" i="29" s="1" a="1"/>
  <c r="T61" i="29" s="1"/>
  <c r="S60" i="29"/>
  <c r="R60" i="29"/>
  <c r="T60" i="29" s="1" a="1"/>
  <c r="T60" i="29" s="1"/>
  <c r="S59" i="29"/>
  <c r="R59" i="29"/>
  <c r="T59" i="29" s="1" a="1"/>
  <c r="T59" i="29" s="1"/>
  <c r="S58" i="29"/>
  <c r="R58" i="29"/>
  <c r="T58" i="29" s="1" a="1"/>
  <c r="T58" i="29" s="1"/>
  <c r="S57" i="29"/>
  <c r="R57" i="29"/>
  <c r="T57" i="29" s="1" a="1"/>
  <c r="T57" i="29" s="1"/>
  <c r="S56" i="29"/>
  <c r="R56" i="29"/>
  <c r="T56" i="29" s="1" a="1"/>
  <c r="T56" i="29" s="1"/>
  <c r="S55" i="29"/>
  <c r="R55" i="29"/>
  <c r="T55" i="29" s="1" a="1"/>
  <c r="T55" i="29" s="1"/>
  <c r="S54" i="29"/>
  <c r="R54" i="29"/>
  <c r="T54" i="29" s="1" a="1"/>
  <c r="T54" i="29" s="1"/>
  <c r="S53" i="29"/>
  <c r="R53" i="29"/>
  <c r="T53" i="29" s="1" a="1"/>
  <c r="T53" i="29" s="1"/>
  <c r="S52" i="29"/>
  <c r="R52" i="29"/>
  <c r="T52" i="29" s="1" a="1"/>
  <c r="T52" i="29" s="1"/>
  <c r="S51" i="29"/>
  <c r="R51" i="29"/>
  <c r="T51" i="29" s="1" a="1"/>
  <c r="T51" i="29" s="1"/>
  <c r="S50" i="29"/>
  <c r="R50" i="29"/>
  <c r="T50" i="29" s="1" a="1"/>
  <c r="T50" i="29" s="1"/>
  <c r="S49" i="29"/>
  <c r="R49" i="29"/>
  <c r="T49" i="29" s="1" a="1"/>
  <c r="T49" i="29" s="1"/>
  <c r="S48" i="29"/>
  <c r="R48" i="29"/>
  <c r="T48" i="29" s="1" a="1"/>
  <c r="T48" i="29" s="1"/>
  <c r="S47" i="29"/>
  <c r="R47" i="29"/>
  <c r="T47" i="29" s="1" a="1"/>
  <c r="T47" i="29" s="1"/>
  <c r="S46" i="29"/>
  <c r="R46" i="29"/>
  <c r="T46" i="29" s="1" a="1"/>
  <c r="T46" i="29" s="1"/>
  <c r="S45" i="29"/>
  <c r="R45" i="29"/>
  <c r="T45" i="29" s="1" a="1"/>
  <c r="T45" i="29" s="1"/>
  <c r="S44" i="29"/>
  <c r="R44" i="29"/>
  <c r="T44" i="29" s="1" a="1"/>
  <c r="T44" i="29" s="1"/>
  <c r="S43" i="29"/>
  <c r="R43" i="29"/>
  <c r="T43" i="29" s="1" a="1"/>
  <c r="T43" i="29" s="1"/>
  <c r="S42" i="29"/>
  <c r="R42" i="29"/>
  <c r="T42" i="29" s="1" a="1"/>
  <c r="T42" i="29" s="1"/>
  <c r="S41" i="29"/>
  <c r="R41" i="29"/>
  <c r="T41" i="29" s="1" a="1"/>
  <c r="T41" i="29" s="1"/>
  <c r="S40" i="29"/>
  <c r="R40" i="29"/>
  <c r="T40" i="29" s="1" a="1"/>
  <c r="T40" i="29" s="1"/>
  <c r="S39" i="29"/>
  <c r="R39" i="29"/>
  <c r="T39" i="29" s="1" a="1"/>
  <c r="T39" i="29" s="1"/>
  <c r="S38" i="29"/>
  <c r="R38" i="29"/>
  <c r="T38" i="29" s="1" a="1"/>
  <c r="T38" i="29" s="1"/>
  <c r="S37" i="29"/>
  <c r="R37" i="29"/>
  <c r="T37" i="29" s="1" a="1"/>
  <c r="T37" i="29" s="1"/>
  <c r="S36" i="29"/>
  <c r="R36" i="29"/>
  <c r="T36" i="29" s="1" a="1"/>
  <c r="T36" i="29" s="1"/>
  <c r="S35" i="29"/>
  <c r="R35" i="29"/>
  <c r="T35" i="29" s="1" a="1"/>
  <c r="T35" i="29" s="1"/>
  <c r="S34" i="29"/>
  <c r="R34" i="29"/>
  <c r="T34" i="29" s="1" a="1"/>
  <c r="T34" i="29" s="1"/>
  <c r="S33" i="29"/>
  <c r="R33" i="29"/>
  <c r="T33" i="29" s="1" a="1"/>
  <c r="T33" i="29" s="1"/>
  <c r="S32" i="29"/>
  <c r="R32" i="29"/>
  <c r="T32" i="29" s="1" a="1"/>
  <c r="T32" i="29" s="1"/>
  <c r="S31" i="29"/>
  <c r="R31" i="29"/>
  <c r="T31" i="29" s="1" a="1"/>
  <c r="T31" i="29" s="1"/>
  <c r="S30" i="29"/>
  <c r="R30" i="29"/>
  <c r="T30" i="29" s="1" a="1"/>
  <c r="T30" i="29" s="1"/>
  <c r="S29" i="29"/>
  <c r="R29" i="29"/>
  <c r="T29" i="29" s="1" a="1"/>
  <c r="T29" i="29" s="1"/>
  <c r="S28" i="29"/>
  <c r="R28" i="29"/>
  <c r="T28" i="29" s="1" a="1"/>
  <c r="T28" i="29" s="1"/>
  <c r="S27" i="29"/>
  <c r="R27" i="29"/>
  <c r="T27" i="29" s="1" a="1"/>
  <c r="T27" i="29" s="1"/>
  <c r="S26" i="29"/>
  <c r="R26" i="29"/>
  <c r="T26" i="29" s="1" a="1"/>
  <c r="T26" i="29" s="1"/>
  <c r="S25" i="29"/>
  <c r="R25" i="29"/>
  <c r="T25" i="29" s="1" a="1"/>
  <c r="T25" i="29" s="1"/>
  <c r="S24" i="29"/>
  <c r="R24" i="29"/>
  <c r="T24" i="29" s="1" a="1"/>
  <c r="T24" i="29" s="1"/>
  <c r="S23" i="29"/>
  <c r="R23" i="29"/>
  <c r="T23" i="29" s="1" a="1"/>
  <c r="T23" i="29" s="1"/>
  <c r="S22" i="29"/>
  <c r="R22" i="29"/>
  <c r="S21" i="29"/>
  <c r="R21" i="29"/>
  <c r="T21" i="29" s="1" a="1"/>
  <c r="T21" i="29" s="1"/>
  <c r="S20" i="29"/>
  <c r="R20" i="29"/>
  <c r="T20" i="29" s="1" a="1"/>
  <c r="T20" i="29" s="1"/>
  <c r="S19" i="29"/>
  <c r="R19" i="29"/>
  <c r="T19" i="29" s="1" a="1"/>
  <c r="T19" i="29" s="1"/>
  <c r="S18" i="29"/>
  <c r="R18" i="29"/>
  <c r="S17" i="29"/>
  <c r="R17" i="29"/>
  <c r="T17" i="29" s="1" a="1"/>
  <c r="T17" i="29" s="1"/>
  <c r="S16" i="29"/>
  <c r="R16" i="29"/>
  <c r="T16" i="29" s="1" a="1"/>
  <c r="T16" i="29" s="1"/>
  <c r="S15" i="29"/>
  <c r="R15" i="29"/>
  <c r="T15" i="29" s="1" a="1"/>
  <c r="T15" i="29" s="1"/>
  <c r="S14" i="29"/>
  <c r="R14" i="29"/>
  <c r="S13" i="29"/>
  <c r="R13" i="29"/>
  <c r="T13" i="29" s="1" a="1"/>
  <c r="T13" i="29" s="1"/>
  <c r="S12" i="29"/>
  <c r="R12" i="29"/>
  <c r="S11" i="29"/>
  <c r="R11" i="29"/>
  <c r="T11" i="29" s="1" a="1"/>
  <c r="T11" i="29" s="1"/>
  <c r="S10" i="29"/>
  <c r="R10" i="29"/>
  <c r="T10" i="29" s="1" a="1"/>
  <c r="T10" i="29" s="1"/>
  <c r="S9" i="29"/>
  <c r="R9" i="29"/>
  <c r="T9" i="29" s="1" a="1"/>
  <c r="T9" i="29" s="1"/>
  <c r="S8" i="29"/>
  <c r="R8" i="29"/>
  <c r="T8" i="29" s="1" a="1"/>
  <c r="T8" i="29" s="1"/>
  <c r="S7" i="29"/>
  <c r="R7" i="29"/>
  <c r="T7" i="29" s="1" a="1"/>
  <c r="T7" i="29" s="1"/>
  <c r="S6" i="29"/>
  <c r="R6" i="29"/>
  <c r="T6" i="29" s="1" a="1"/>
  <c r="T6" i="29" s="1"/>
  <c r="T5" i="29"/>
  <c r="M73" i="29"/>
  <c r="L73" i="29"/>
  <c r="N73" i="29" s="1" a="1"/>
  <c r="N73" i="29" s="1"/>
  <c r="M72" i="29"/>
  <c r="L72" i="29"/>
  <c r="N72" i="29" s="1" a="1"/>
  <c r="N72" i="29" s="1"/>
  <c r="M71" i="29"/>
  <c r="L71" i="29"/>
  <c r="N71" i="29" s="1" a="1"/>
  <c r="N71" i="29" s="1"/>
  <c r="M70" i="29"/>
  <c r="L70" i="29"/>
  <c r="N70" i="29" s="1" a="1"/>
  <c r="N70" i="29" s="1"/>
  <c r="M69" i="29"/>
  <c r="L69" i="29"/>
  <c r="N69" i="29" s="1" a="1"/>
  <c r="N69" i="29" s="1"/>
  <c r="M68" i="29"/>
  <c r="L68" i="29"/>
  <c r="N68" i="29" s="1" a="1"/>
  <c r="N68" i="29" s="1"/>
  <c r="M67" i="29"/>
  <c r="L67" i="29"/>
  <c r="N67" i="29" s="1" a="1"/>
  <c r="N67" i="29" s="1"/>
  <c r="M66" i="29"/>
  <c r="L66" i="29"/>
  <c r="M65" i="29"/>
  <c r="L65" i="29"/>
  <c r="N65" i="29" s="1" a="1"/>
  <c r="N65" i="29" s="1"/>
  <c r="M64" i="29"/>
  <c r="L64" i="29"/>
  <c r="M63" i="29"/>
  <c r="L63" i="29"/>
  <c r="N63" i="29" s="1" a="1"/>
  <c r="N63" i="29" s="1"/>
  <c r="M62" i="29"/>
  <c r="L62" i="29"/>
  <c r="N62" i="29" s="1" a="1"/>
  <c r="N62" i="29" s="1"/>
  <c r="M61" i="29"/>
  <c r="L61" i="29"/>
  <c r="N61" i="29" s="1" a="1"/>
  <c r="N61" i="29" s="1"/>
  <c r="M60" i="29"/>
  <c r="L60" i="29"/>
  <c r="N60" i="29" s="1" a="1"/>
  <c r="N60" i="29" s="1"/>
  <c r="M59" i="29"/>
  <c r="L59" i="29"/>
  <c r="N59" i="29" s="1" a="1"/>
  <c r="N59" i="29" s="1"/>
  <c r="M58" i="29"/>
  <c r="L58" i="29"/>
  <c r="N58" i="29" s="1" a="1"/>
  <c r="N58" i="29" s="1"/>
  <c r="M57" i="29"/>
  <c r="L57" i="29"/>
  <c r="N57" i="29" s="1" a="1"/>
  <c r="N57" i="29" s="1"/>
  <c r="M56" i="29"/>
  <c r="L56" i="29"/>
  <c r="N56" i="29" s="1" a="1"/>
  <c r="N56" i="29" s="1"/>
  <c r="M55" i="29"/>
  <c r="L55" i="29"/>
  <c r="N55" i="29" s="1" a="1"/>
  <c r="N55" i="29" s="1"/>
  <c r="M54" i="29"/>
  <c r="L54" i="29"/>
  <c r="M53" i="29"/>
  <c r="L53" i="29"/>
  <c r="N53" i="29" s="1" a="1"/>
  <c r="N53" i="29" s="1"/>
  <c r="M52" i="29"/>
  <c r="L52" i="29"/>
  <c r="N52" i="29" s="1" a="1"/>
  <c r="N52" i="29" s="1"/>
  <c r="M51" i="29"/>
  <c r="L51" i="29"/>
  <c r="N51" i="29" s="1" a="1"/>
  <c r="N51" i="29" s="1"/>
  <c r="M50" i="29"/>
  <c r="L50" i="29"/>
  <c r="N50" i="29" s="1" a="1"/>
  <c r="N50" i="29" s="1"/>
  <c r="M49" i="29"/>
  <c r="L49" i="29"/>
  <c r="N49" i="29" s="1" a="1"/>
  <c r="N49" i="29" s="1"/>
  <c r="M48" i="29"/>
  <c r="L48" i="29"/>
  <c r="N48" i="29" s="1" a="1"/>
  <c r="N48" i="29" s="1"/>
  <c r="M47" i="29"/>
  <c r="L47" i="29"/>
  <c r="N47" i="29" s="1" a="1"/>
  <c r="N47" i="29" s="1"/>
  <c r="M46" i="29"/>
  <c r="L46" i="29"/>
  <c r="N46" i="29" s="1" a="1"/>
  <c r="N46" i="29" s="1"/>
  <c r="M45" i="29"/>
  <c r="L45" i="29"/>
  <c r="N45" i="29" s="1" a="1"/>
  <c r="N45" i="29" s="1"/>
  <c r="M44" i="29"/>
  <c r="L44" i="29"/>
  <c r="N44" i="29" s="1" a="1"/>
  <c r="N44" i="29" s="1"/>
  <c r="M43" i="29"/>
  <c r="L43" i="29"/>
  <c r="N43" i="29" s="1" a="1"/>
  <c r="N43" i="29" s="1"/>
  <c r="M42" i="29"/>
  <c r="L42" i="29"/>
  <c r="N42" i="29" s="1" a="1"/>
  <c r="N42" i="29" s="1"/>
  <c r="M41" i="29"/>
  <c r="L41" i="29"/>
  <c r="N41" i="29" s="1" a="1"/>
  <c r="N41" i="29" s="1"/>
  <c r="M40" i="29"/>
  <c r="L40" i="29"/>
  <c r="N40" i="29" s="1" a="1"/>
  <c r="N40" i="29" s="1"/>
  <c r="M39" i="29"/>
  <c r="L39" i="29"/>
  <c r="N39" i="29" s="1" a="1"/>
  <c r="N39" i="29" s="1"/>
  <c r="M38" i="29"/>
  <c r="L38" i="29"/>
  <c r="M37" i="29"/>
  <c r="L37" i="29"/>
  <c r="N37" i="29" s="1" a="1"/>
  <c r="N37" i="29" s="1"/>
  <c r="M36" i="29"/>
  <c r="L36" i="29"/>
  <c r="N36" i="29" s="1" a="1"/>
  <c r="N36" i="29" s="1"/>
  <c r="M35" i="29"/>
  <c r="L35" i="29"/>
  <c r="N35" i="29" s="1" a="1"/>
  <c r="N35" i="29" s="1"/>
  <c r="M34" i="29"/>
  <c r="L34" i="29"/>
  <c r="N34" i="29" s="1" a="1"/>
  <c r="N34" i="29" s="1"/>
  <c r="M33" i="29"/>
  <c r="L33" i="29"/>
  <c r="N33" i="29" s="1" a="1"/>
  <c r="N33" i="29" s="1"/>
  <c r="M32" i="29"/>
  <c r="L32" i="29"/>
  <c r="N32" i="29" s="1" a="1"/>
  <c r="N32" i="29" s="1"/>
  <c r="M31" i="29"/>
  <c r="L31" i="29"/>
  <c r="N31" i="29" s="1" a="1"/>
  <c r="N31" i="29" s="1"/>
  <c r="M30" i="29"/>
  <c r="L30" i="29"/>
  <c r="M29" i="29"/>
  <c r="L29" i="29"/>
  <c r="N29" i="29" s="1" a="1"/>
  <c r="N29" i="29" s="1"/>
  <c r="M28" i="29"/>
  <c r="L28" i="29"/>
  <c r="N28" i="29" s="1" a="1"/>
  <c r="N28" i="29" s="1"/>
  <c r="M27" i="29"/>
  <c r="L27" i="29"/>
  <c r="N27" i="29" s="1" a="1"/>
  <c r="N27" i="29" s="1"/>
  <c r="M26" i="29"/>
  <c r="L26" i="29"/>
  <c r="N26" i="29" s="1" a="1"/>
  <c r="N26" i="29" s="1"/>
  <c r="M25" i="29"/>
  <c r="L25" i="29"/>
  <c r="N25" i="29" s="1" a="1"/>
  <c r="N25" i="29" s="1"/>
  <c r="M24" i="29"/>
  <c r="L24" i="29"/>
  <c r="M23" i="29"/>
  <c r="L23" i="29"/>
  <c r="N23" i="29" s="1" a="1"/>
  <c r="N23" i="29" s="1"/>
  <c r="M22" i="29"/>
  <c r="L22" i="29"/>
  <c r="N22" i="29" s="1" a="1"/>
  <c r="N22" i="29" s="1"/>
  <c r="M21" i="29"/>
  <c r="L21" i="29"/>
  <c r="N21" i="29" s="1" a="1"/>
  <c r="N21" i="29" s="1"/>
  <c r="M20" i="29"/>
  <c r="L20" i="29"/>
  <c r="N20" i="29" s="1" a="1"/>
  <c r="N20" i="29" s="1"/>
  <c r="M19" i="29"/>
  <c r="L19" i="29"/>
  <c r="N19" i="29" s="1" a="1"/>
  <c r="N19" i="29" s="1"/>
  <c r="M18" i="29"/>
  <c r="L18" i="29"/>
  <c r="M17" i="29"/>
  <c r="L17" i="29"/>
  <c r="N17" i="29" s="1" a="1"/>
  <c r="N17" i="29" s="1"/>
  <c r="M16" i="29"/>
  <c r="L16" i="29"/>
  <c r="N16" i="29" s="1" a="1"/>
  <c r="N16" i="29" s="1"/>
  <c r="M15" i="29"/>
  <c r="L15" i="29"/>
  <c r="N15" i="29" s="1" a="1"/>
  <c r="N15" i="29" s="1"/>
  <c r="M14" i="29"/>
  <c r="L14" i="29"/>
  <c r="N14" i="29" s="1" a="1"/>
  <c r="N14" i="29" s="1"/>
  <c r="M13" i="29"/>
  <c r="L13" i="29"/>
  <c r="N13" i="29" s="1" a="1"/>
  <c r="N13" i="29" s="1"/>
  <c r="M12" i="29"/>
  <c r="L12" i="29"/>
  <c r="N12" i="29" s="1" a="1"/>
  <c r="N12" i="29" s="1"/>
  <c r="M11" i="29"/>
  <c r="L11" i="29"/>
  <c r="N11" i="29" s="1" a="1"/>
  <c r="N11" i="29" s="1"/>
  <c r="M10" i="29"/>
  <c r="L10" i="29"/>
  <c r="N10" i="29" s="1" a="1"/>
  <c r="N10" i="29" s="1"/>
  <c r="M9" i="29"/>
  <c r="L9" i="29"/>
  <c r="N9" i="29" s="1" a="1"/>
  <c r="N9" i="29" s="1"/>
  <c r="M8" i="29"/>
  <c r="L8" i="29"/>
  <c r="N8" i="29" s="1" a="1"/>
  <c r="N8" i="29" s="1"/>
  <c r="M7" i="29"/>
  <c r="L7" i="29"/>
  <c r="N7" i="29" s="1" a="1"/>
  <c r="N7" i="29" s="1"/>
  <c r="M6" i="29"/>
  <c r="L6" i="29"/>
  <c r="N6" i="29" s="1" a="1"/>
  <c r="N6" i="29" s="1"/>
  <c r="N5" i="29"/>
  <c r="H5" i="29"/>
  <c r="R37" i="30" l="1"/>
  <c r="T37" i="30" s="1"/>
  <c r="T36" i="30"/>
  <c r="R36" i="30"/>
  <c r="S36" i="30" s="1"/>
  <c r="T35" i="30"/>
  <c r="S35" i="30"/>
  <c r="R35" i="30"/>
  <c r="R34" i="30"/>
  <c r="T34" i="30" s="1"/>
  <c r="R33" i="30"/>
  <c r="T33" i="30" s="1"/>
  <c r="T32" i="30"/>
  <c r="R32" i="30"/>
  <c r="S32" i="30" s="1"/>
  <c r="T31" i="30"/>
  <c r="S31" i="30"/>
  <c r="R31" i="30"/>
  <c r="R30" i="30"/>
  <c r="T30" i="30" s="1"/>
  <c r="R29" i="30"/>
  <c r="T29" i="30" s="1"/>
  <c r="T28" i="30"/>
  <c r="R28" i="30"/>
  <c r="S28" i="30" s="1"/>
  <c r="R26" i="30"/>
  <c r="T26" i="30" s="1"/>
  <c r="F23" i="30"/>
  <c r="B23" i="30"/>
  <c r="R20" i="30" s="1"/>
  <c r="F22" i="30"/>
  <c r="B22" i="30"/>
  <c r="F21" i="30"/>
  <c r="B21" i="30"/>
  <c r="F20" i="30"/>
  <c r="B20" i="30"/>
  <c r="R17" i="30" s="1"/>
  <c r="R19" i="30"/>
  <c r="T19" i="30" s="1"/>
  <c r="F19" i="30"/>
  <c r="B19" i="30"/>
  <c r="R18" i="30"/>
  <c r="T18" i="30" s="1"/>
  <c r="F18" i="30"/>
  <c r="B18" i="30"/>
  <c r="F17" i="30"/>
  <c r="B17" i="30"/>
  <c r="T16" i="30"/>
  <c r="R16" i="30"/>
  <c r="S16" i="30" s="1"/>
  <c r="F16" i="30"/>
  <c r="B16" i="30"/>
  <c r="R13" i="30" s="1"/>
  <c r="R15" i="30"/>
  <c r="T15" i="30" s="1"/>
  <c r="F15" i="30"/>
  <c r="B15" i="30"/>
  <c r="R14" i="30"/>
  <c r="S14" i="30" s="1"/>
  <c r="F14" i="30"/>
  <c r="B14" i="30"/>
  <c r="M13" i="30"/>
  <c r="F13" i="30"/>
  <c r="R27" i="30" s="1"/>
  <c r="B13" i="30"/>
  <c r="R12" i="30"/>
  <c r="S12" i="30" s="1"/>
  <c r="F12" i="30"/>
  <c r="B12" i="30"/>
  <c r="T11" i="30"/>
  <c r="R11" i="30"/>
  <c r="S11" i="30" s="1"/>
  <c r="M11" i="30"/>
  <c r="D11" i="30"/>
  <c r="R10" i="30"/>
  <c r="T10" i="30" s="1"/>
  <c r="R9" i="30"/>
  <c r="T9" i="30" s="1"/>
  <c r="S8" i="30"/>
  <c r="F8" i="30"/>
  <c r="U23" i="30" s="1"/>
  <c r="S7" i="30"/>
  <c r="S6" i="30"/>
  <c r="N6" i="30"/>
  <c r="K6" i="30"/>
  <c r="S5" i="30"/>
  <c r="B8" i="30" s="1"/>
  <c r="U2" i="30" s="1"/>
  <c r="AE33" i="29"/>
  <c r="AO11" i="21"/>
  <c r="V33" i="21"/>
  <c r="AB36" i="26" s="1"/>
  <c r="V19" i="26"/>
  <c r="AE36" i="29" l="1"/>
  <c r="AE16" i="29"/>
  <c r="AE38" i="29"/>
  <c r="AE40" i="29"/>
  <c r="AE24" i="29"/>
  <c r="AE32" i="29"/>
  <c r="AE55" i="29"/>
  <c r="AE14" i="29"/>
  <c r="AE22" i="29"/>
  <c r="AE30" i="29"/>
  <c r="AE39" i="29"/>
  <c r="AE12" i="29"/>
  <c r="AE21" i="29"/>
  <c r="AE29" i="29"/>
  <c r="AE31" i="29"/>
  <c r="AE42" i="29"/>
  <c r="AE44" i="29"/>
  <c r="AE7" i="29"/>
  <c r="AE18" i="29"/>
  <c r="AE26" i="29"/>
  <c r="AE48" i="29"/>
  <c r="AE49" i="29"/>
  <c r="AE50" i="29"/>
  <c r="AE53" i="29"/>
  <c r="AE54" i="29"/>
  <c r="AE13" i="29"/>
  <c r="AE15" i="29"/>
  <c r="AE20" i="29"/>
  <c r="AE28" i="29"/>
  <c r="AE34" i="29"/>
  <c r="AE43" i="29"/>
  <c r="AE45" i="29"/>
  <c r="AE6" i="29"/>
  <c r="AE8" i="29"/>
  <c r="AE10" i="29"/>
  <c r="AE11" i="29"/>
  <c r="AE19" i="29"/>
  <c r="AE27" i="29"/>
  <c r="AE41" i="29"/>
  <c r="AE52" i="29"/>
  <c r="T27" i="30"/>
  <c r="S27" i="30"/>
  <c r="T13" i="30"/>
  <c r="S13" i="30"/>
  <c r="T17" i="30"/>
  <c r="S17" i="30"/>
  <c r="M7" i="30"/>
  <c r="M6" i="30"/>
  <c r="L13" i="30" s="1"/>
  <c r="S20" i="30"/>
  <c r="T20" i="30"/>
  <c r="S10" i="30"/>
  <c r="S18" i="30"/>
  <c r="S26" i="30"/>
  <c r="S30" i="30"/>
  <c r="S34" i="30"/>
  <c r="S9" i="30"/>
  <c r="L6" i="30" s="1"/>
  <c r="T12" i="30"/>
  <c r="T14" i="30"/>
  <c r="S15" i="30"/>
  <c r="S19" i="30"/>
  <c r="S29" i="30"/>
  <c r="S33" i="30"/>
  <c r="S37" i="30"/>
  <c r="AE51" i="29"/>
  <c r="AE23" i="29"/>
  <c r="AE35" i="29"/>
  <c r="AE46" i="29"/>
  <c r="AE9" i="29"/>
  <c r="AE25" i="29"/>
  <c r="AE37" i="29"/>
  <c r="AE47" i="29"/>
  <c r="AE17" i="29"/>
  <c r="L12" i="30" l="1"/>
  <c r="L11" i="30"/>
  <c r="I38" i="21" l="1"/>
  <c r="G39" i="21"/>
  <c r="J39" i="21"/>
  <c r="G40" i="21"/>
  <c r="J40" i="21"/>
  <c r="I41" i="26" l="1"/>
  <c r="K41" i="26"/>
  <c r="L41" i="26"/>
  <c r="G42" i="26"/>
  <c r="M42" i="26"/>
  <c r="G43" i="26"/>
  <c r="M43" i="26"/>
  <c r="BG23" i="21" l="1"/>
  <c r="G33" i="21"/>
  <c r="G36" i="26" s="1"/>
  <c r="P34" i="21"/>
  <c r="V37" i="26" s="1"/>
  <c r="M2" i="25"/>
  <c r="AX47" i="21" l="1"/>
  <c r="AX46" i="21"/>
  <c r="X43" i="26"/>
  <c r="B4" i="26"/>
  <c r="R4" i="26"/>
  <c r="Y4" i="26"/>
  <c r="B5" i="26"/>
  <c r="D5" i="26"/>
  <c r="E13" i="26" s="1"/>
  <c r="R5" i="26"/>
  <c r="S5" i="26"/>
  <c r="Y5" i="26"/>
  <c r="Z5" i="26"/>
  <c r="B6" i="26"/>
  <c r="D6" i="26"/>
  <c r="B7" i="26"/>
  <c r="D7" i="26"/>
  <c r="B8" i="26"/>
  <c r="D8" i="26"/>
  <c r="E8" i="26"/>
  <c r="B9" i="26"/>
  <c r="O9" i="26"/>
  <c r="B10" i="26"/>
  <c r="D10" i="26"/>
  <c r="O10" i="26"/>
  <c r="P10" i="26"/>
  <c r="B17" i="26"/>
  <c r="H13" i="26"/>
  <c r="B18" i="26"/>
  <c r="D18" i="26"/>
  <c r="E18" i="26"/>
  <c r="H14" i="26"/>
  <c r="K14" i="26"/>
  <c r="B19" i="26"/>
  <c r="D19" i="26"/>
  <c r="E19" i="26"/>
  <c r="B20" i="26"/>
  <c r="D20" i="26"/>
  <c r="E20" i="26"/>
  <c r="B21" i="26"/>
  <c r="E21" i="26"/>
  <c r="B22" i="26"/>
  <c r="D22" i="26"/>
  <c r="E22" i="26"/>
  <c r="I19" i="26"/>
  <c r="I20" i="26"/>
  <c r="K20" i="26"/>
  <c r="B24" i="26"/>
  <c r="V34" i="26"/>
  <c r="B25" i="26"/>
  <c r="D25" i="26"/>
  <c r="E25" i="26"/>
  <c r="M19" i="26"/>
  <c r="V35" i="26"/>
  <c r="Z35" i="26"/>
  <c r="B26" i="26"/>
  <c r="D26" i="26"/>
  <c r="E26" i="26"/>
  <c r="M20" i="26"/>
  <c r="O20" i="26"/>
  <c r="V36" i="26"/>
  <c r="Z36" i="26"/>
  <c r="O34" i="26"/>
  <c r="B27" i="26"/>
  <c r="D27" i="26"/>
  <c r="E27" i="26"/>
  <c r="O35" i="26"/>
  <c r="S35" i="26"/>
  <c r="B28" i="26"/>
  <c r="D28" i="26"/>
  <c r="E28" i="26"/>
  <c r="I24" i="26"/>
  <c r="O36" i="26"/>
  <c r="S36" i="26"/>
  <c r="B29" i="26"/>
  <c r="D29" i="26"/>
  <c r="I25" i="26"/>
  <c r="K25" i="26"/>
  <c r="O37" i="26"/>
  <c r="S37" i="26"/>
  <c r="B30" i="26"/>
  <c r="E30" i="26"/>
  <c r="B32" i="26"/>
  <c r="G27" i="26"/>
  <c r="B33" i="26"/>
  <c r="D33" i="26"/>
  <c r="E33" i="26"/>
  <c r="G28" i="26"/>
  <c r="I28" i="26"/>
  <c r="B34" i="26"/>
  <c r="E34" i="26"/>
  <c r="B35" i="26"/>
  <c r="E35" i="26"/>
  <c r="B36" i="26"/>
  <c r="D36" i="26"/>
  <c r="O40" i="26"/>
  <c r="T40" i="26"/>
  <c r="W40" i="26"/>
  <c r="Y40" i="26"/>
  <c r="AB40" i="26"/>
  <c r="B37" i="26"/>
  <c r="E37" i="26"/>
  <c r="O41" i="26"/>
  <c r="T41" i="26"/>
  <c r="X41" i="26"/>
  <c r="Z41" i="26"/>
  <c r="AB41" i="26"/>
  <c r="AE41" i="26"/>
  <c r="O42" i="26"/>
  <c r="P42" i="26"/>
  <c r="T42" i="26"/>
  <c r="X42" i="26"/>
  <c r="Z42" i="26"/>
  <c r="AB42" i="26"/>
  <c r="AE42" i="26"/>
  <c r="O43" i="26"/>
  <c r="Q43" i="26"/>
  <c r="T43" i="26"/>
  <c r="Z43" i="26"/>
  <c r="AE43" i="26"/>
  <c r="L47" i="26"/>
  <c r="P47" i="26"/>
  <c r="AX27" i="21"/>
  <c r="E12" i="26" s="1"/>
  <c r="AW40" i="21" l="1"/>
  <c r="E9" i="21" l="1"/>
  <c r="E7" i="26" s="1"/>
  <c r="E8" i="21"/>
  <c r="E6" i="26" s="1"/>
  <c r="E12" i="21"/>
  <c r="E9" i="26" s="1"/>
  <c r="E13" i="21"/>
  <c r="E10" i="26" s="1"/>
  <c r="AW60" i="21"/>
  <c r="K43" i="26" s="1"/>
  <c r="B4" i="25"/>
  <c r="D9" i="26" l="1"/>
  <c r="AU16" i="21" l="1"/>
  <c r="AV16" i="21" s="1"/>
  <c r="B34" i="21" l="1"/>
  <c r="D37" i="21"/>
  <c r="D37" i="26" s="1"/>
  <c r="AW36" i="21" l="1"/>
  <c r="AW35" i="21"/>
  <c r="D34" i="26" s="1"/>
  <c r="D21" i="26"/>
  <c r="AS36" i="21" l="1"/>
  <c r="AN33" i="21"/>
  <c r="R36" i="26" s="1"/>
  <c r="BA64" i="21"/>
  <c r="AV60" i="21"/>
  <c r="I43" i="26" s="1"/>
  <c r="AV59" i="21"/>
  <c r="I42" i="26" s="1"/>
  <c r="BA70" i="21" l="1"/>
  <c r="AO14" i="21"/>
  <c r="AN14" i="21"/>
  <c r="AO13" i="21"/>
  <c r="AN13" i="21"/>
  <c r="AO12" i="21"/>
  <c r="AN12" i="21"/>
  <c r="AN11" i="21"/>
  <c r="AO10" i="21"/>
  <c r="AN10" i="21"/>
  <c r="AO9" i="21"/>
  <c r="AN9" i="21"/>
  <c r="AO7" i="21"/>
  <c r="AN7" i="21"/>
  <c r="AO8" i="21"/>
  <c r="AN8" i="21"/>
  <c r="AP11" i="21" l="1"/>
  <c r="AP9" i="21"/>
  <c r="AP10" i="21"/>
  <c r="AP8" i="21"/>
  <c r="AR8" i="21" s="1"/>
  <c r="AP7" i="21"/>
  <c r="AP13" i="21"/>
  <c r="AR11" i="21" s="1"/>
  <c r="AP12" i="21"/>
  <c r="AP14" i="21"/>
  <c r="BB11" i="21" l="1" a="1"/>
  <c r="BB11" i="21" s="1"/>
  <c r="AR7" i="21"/>
  <c r="AR10" i="21"/>
  <c r="AR9" i="21"/>
  <c r="AT9" i="21" s="1"/>
  <c r="C4" i="25"/>
  <c r="W38" i="21"/>
  <c r="AD41" i="26" s="1"/>
  <c r="AW29" i="21"/>
  <c r="BB8" i="21" s="1"/>
  <c r="AW58" i="21" s="1"/>
  <c r="AV58" i="21"/>
  <c r="AR15" i="21" l="1"/>
  <c r="Q38" i="21"/>
  <c r="W41" i="26" s="1"/>
  <c r="AW51" i="21"/>
  <c r="W39" i="21"/>
  <c r="AD42" i="26" s="1"/>
  <c r="S38" i="21"/>
  <c r="Y41" i="26" s="1"/>
  <c r="AW52" i="21"/>
  <c r="AT10" i="21"/>
  <c r="BB7" i="21"/>
  <c r="D34" i="25"/>
  <c r="P192" i="25"/>
  <c r="P191" i="25"/>
  <c r="P190" i="25"/>
  <c r="P189" i="25"/>
  <c r="P188" i="25"/>
  <c r="P187" i="25"/>
  <c r="P186" i="25"/>
  <c r="P185" i="25"/>
  <c r="P184" i="25"/>
  <c r="P183" i="25"/>
  <c r="P182" i="25"/>
  <c r="P181" i="25"/>
  <c r="P180" i="25"/>
  <c r="P179" i="25"/>
  <c r="P178" i="25"/>
  <c r="P177" i="25"/>
  <c r="P176" i="25"/>
  <c r="P175" i="25"/>
  <c r="P174" i="25"/>
  <c r="P173" i="25"/>
  <c r="P172" i="25"/>
  <c r="P171" i="25"/>
  <c r="P170" i="25"/>
  <c r="P169" i="25"/>
  <c r="P168" i="25"/>
  <c r="P167" i="25"/>
  <c r="P166" i="25"/>
  <c r="P165" i="25"/>
  <c r="P164" i="25"/>
  <c r="P163" i="25"/>
  <c r="P162" i="25"/>
  <c r="P161" i="25"/>
  <c r="P160" i="25"/>
  <c r="P159" i="25"/>
  <c r="P158" i="25"/>
  <c r="P157" i="25"/>
  <c r="P156" i="25"/>
  <c r="P155" i="25"/>
  <c r="P154" i="25"/>
  <c r="P153" i="25"/>
  <c r="P152" i="25"/>
  <c r="P151" i="25"/>
  <c r="P150" i="25"/>
  <c r="P149" i="25"/>
  <c r="P148" i="25"/>
  <c r="P147" i="25"/>
  <c r="P146" i="25"/>
  <c r="P145" i="25"/>
  <c r="P144" i="25"/>
  <c r="P143" i="25"/>
  <c r="P142" i="25"/>
  <c r="P141" i="25"/>
  <c r="P140" i="25"/>
  <c r="P139" i="25"/>
  <c r="P138" i="25"/>
  <c r="P137" i="25"/>
  <c r="P136" i="25"/>
  <c r="P135" i="25"/>
  <c r="P134" i="25"/>
  <c r="P133" i="25"/>
  <c r="P132" i="25"/>
  <c r="P131" i="25"/>
  <c r="P130" i="25"/>
  <c r="P129" i="25"/>
  <c r="P128" i="25"/>
  <c r="P127" i="25"/>
  <c r="P126" i="25"/>
  <c r="P125" i="25"/>
  <c r="P124" i="25"/>
  <c r="P123" i="25"/>
  <c r="P122" i="25"/>
  <c r="P121" i="25"/>
  <c r="P120" i="25"/>
  <c r="P119" i="25"/>
  <c r="P118" i="25"/>
  <c r="P117" i="25"/>
  <c r="P116" i="25"/>
  <c r="P115" i="25"/>
  <c r="P114" i="25"/>
  <c r="P113" i="25"/>
  <c r="P112" i="25"/>
  <c r="P111" i="25"/>
  <c r="P110" i="25"/>
  <c r="P109" i="25"/>
  <c r="P108" i="25"/>
  <c r="P107" i="25"/>
  <c r="P106" i="25"/>
  <c r="P105" i="25"/>
  <c r="P104" i="25"/>
  <c r="P103" i="25"/>
  <c r="P102" i="25"/>
  <c r="P101" i="25"/>
  <c r="P100" i="25"/>
  <c r="P99" i="25"/>
  <c r="P98" i="25"/>
  <c r="P97" i="25"/>
  <c r="P96" i="25"/>
  <c r="P95" i="25"/>
  <c r="P94" i="25"/>
  <c r="P93" i="25"/>
  <c r="P92" i="25"/>
  <c r="P91" i="25"/>
  <c r="P90" i="25"/>
  <c r="P89" i="25"/>
  <c r="P88" i="25"/>
  <c r="P87" i="25"/>
  <c r="P86" i="25"/>
  <c r="P85" i="25"/>
  <c r="P84" i="25"/>
  <c r="P83" i="25"/>
  <c r="P82" i="25"/>
  <c r="P81" i="25"/>
  <c r="P80" i="25"/>
  <c r="P79" i="25"/>
  <c r="P78" i="25"/>
  <c r="P77" i="25"/>
  <c r="P76" i="25"/>
  <c r="P75" i="25"/>
  <c r="P74" i="25"/>
  <c r="P73" i="25"/>
  <c r="P72" i="25"/>
  <c r="P71" i="25"/>
  <c r="P70" i="25"/>
  <c r="P69" i="25"/>
  <c r="P68" i="25"/>
  <c r="P67" i="25"/>
  <c r="P66" i="25"/>
  <c r="P65" i="25"/>
  <c r="P64" i="25"/>
  <c r="P63" i="25"/>
  <c r="P62" i="25"/>
  <c r="P61" i="25"/>
  <c r="P60" i="25"/>
  <c r="P59" i="25"/>
  <c r="P58" i="25"/>
  <c r="P57" i="25"/>
  <c r="P56" i="25"/>
  <c r="P55" i="25"/>
  <c r="P54" i="25"/>
  <c r="P53" i="25"/>
  <c r="P52" i="25"/>
  <c r="P51" i="25"/>
  <c r="P50" i="25"/>
  <c r="P49" i="25"/>
  <c r="P48" i="25"/>
  <c r="P47" i="25"/>
  <c r="P46" i="25"/>
  <c r="P45" i="25"/>
  <c r="P44" i="25"/>
  <c r="P43" i="25"/>
  <c r="P42" i="25"/>
  <c r="P41" i="25"/>
  <c r="P40" i="25"/>
  <c r="P39" i="25"/>
  <c r="P38" i="25"/>
  <c r="P37" i="25"/>
  <c r="P36" i="25"/>
  <c r="P35" i="25"/>
  <c r="P34" i="25"/>
  <c r="P33" i="25"/>
  <c r="P32" i="25"/>
  <c r="P31" i="25"/>
  <c r="P30" i="25"/>
  <c r="P29" i="25"/>
  <c r="P28" i="25"/>
  <c r="P27" i="25"/>
  <c r="P26" i="25"/>
  <c r="P25" i="25"/>
  <c r="P24" i="25"/>
  <c r="P23" i="25"/>
  <c r="P22" i="25"/>
  <c r="P21" i="25"/>
  <c r="P20" i="25"/>
  <c r="P19" i="25"/>
  <c r="P18" i="25"/>
  <c r="P17" i="25"/>
  <c r="P16" i="25"/>
  <c r="P15" i="25"/>
  <c r="P14" i="25"/>
  <c r="P13" i="25"/>
  <c r="P12" i="25"/>
  <c r="P11" i="25"/>
  <c r="P10" i="25"/>
  <c r="P9" i="25"/>
  <c r="P8" i="25"/>
  <c r="P7" i="25"/>
  <c r="P6" i="25"/>
  <c r="P5" i="25"/>
  <c r="P4" i="25"/>
  <c r="P3" i="25"/>
  <c r="P2" i="25"/>
  <c r="H1677" i="22"/>
  <c r="B1677" i="22"/>
  <c r="H1676" i="22"/>
  <c r="B1676" i="22"/>
  <c r="H1675" i="22"/>
  <c r="B1675" i="22"/>
  <c r="H1674" i="22"/>
  <c r="B1674" i="22"/>
  <c r="H1673" i="22"/>
  <c r="B1673" i="22"/>
  <c r="H1672" i="22"/>
  <c r="B1672" i="22"/>
  <c r="H1671" i="22"/>
  <c r="B1671" i="22"/>
  <c r="H1670" i="22"/>
  <c r="B1670" i="22"/>
  <c r="H1669" i="22"/>
  <c r="B1669" i="22"/>
  <c r="H1668" i="22"/>
  <c r="B1668" i="22"/>
  <c r="H1667" i="22"/>
  <c r="B1667" i="22"/>
  <c r="H1666" i="22"/>
  <c r="B1666" i="22"/>
  <c r="H1665" i="22"/>
  <c r="B1665" i="22"/>
  <c r="H1664" i="22"/>
  <c r="B1664" i="22"/>
  <c r="H1663" i="22"/>
  <c r="B1663" i="22"/>
  <c r="H1662" i="22"/>
  <c r="B1662" i="22"/>
  <c r="H1661" i="22"/>
  <c r="B1661" i="22"/>
  <c r="H1660" i="22"/>
  <c r="B1660" i="22"/>
  <c r="H1659" i="22"/>
  <c r="B1659" i="22"/>
  <c r="H1658" i="22"/>
  <c r="B1658" i="22"/>
  <c r="H1657" i="22"/>
  <c r="B1657" i="22"/>
  <c r="H1656" i="22"/>
  <c r="B1656" i="22"/>
  <c r="H1655" i="22"/>
  <c r="B1655" i="22"/>
  <c r="H1654" i="22"/>
  <c r="B1654" i="22"/>
  <c r="H1653" i="22"/>
  <c r="B1653" i="22"/>
  <c r="H1652" i="22"/>
  <c r="B1652" i="22"/>
  <c r="H1651" i="22"/>
  <c r="B1651" i="22"/>
  <c r="H1650" i="22"/>
  <c r="B1650" i="22"/>
  <c r="H1649" i="22"/>
  <c r="B1649" i="22"/>
  <c r="H1648" i="22"/>
  <c r="B1648" i="22"/>
  <c r="H1647" i="22"/>
  <c r="B1647" i="22"/>
  <c r="H1646" i="22"/>
  <c r="B1646" i="22"/>
  <c r="H1645" i="22"/>
  <c r="B1645" i="22"/>
  <c r="H1644" i="22"/>
  <c r="B1644" i="22"/>
  <c r="H1643" i="22"/>
  <c r="B1643" i="22"/>
  <c r="H1642" i="22"/>
  <c r="B1642" i="22"/>
  <c r="H1641" i="22"/>
  <c r="B1641" i="22"/>
  <c r="H1640" i="22"/>
  <c r="B1640" i="22"/>
  <c r="H1639" i="22"/>
  <c r="B1639" i="22"/>
  <c r="H1638" i="22"/>
  <c r="B1638" i="22"/>
  <c r="H1637" i="22"/>
  <c r="B1637" i="22"/>
  <c r="H1636" i="22"/>
  <c r="B1636" i="22"/>
  <c r="H1635" i="22"/>
  <c r="B1635" i="22"/>
  <c r="H1634" i="22"/>
  <c r="B1634" i="22"/>
  <c r="H1633" i="22"/>
  <c r="B1633" i="22"/>
  <c r="H1632" i="22"/>
  <c r="B1632" i="22"/>
  <c r="H1631" i="22"/>
  <c r="B1631" i="22"/>
  <c r="H1630" i="22"/>
  <c r="B1630" i="22"/>
  <c r="H1629" i="22"/>
  <c r="B1629" i="22"/>
  <c r="H1628" i="22"/>
  <c r="B1628" i="22"/>
  <c r="H1627" i="22"/>
  <c r="B1627" i="22"/>
  <c r="H1626" i="22"/>
  <c r="B1626" i="22"/>
  <c r="H1625" i="22"/>
  <c r="B1625" i="22"/>
  <c r="H1624" i="22"/>
  <c r="B1624" i="22"/>
  <c r="H1623" i="22"/>
  <c r="B1623" i="22"/>
  <c r="H1622" i="22"/>
  <c r="B1622" i="22"/>
  <c r="H1621" i="22"/>
  <c r="B1621" i="22"/>
  <c r="H1620" i="22"/>
  <c r="B1620" i="22"/>
  <c r="H1619" i="22"/>
  <c r="B1619" i="22"/>
  <c r="H1618" i="22"/>
  <c r="B1618" i="22"/>
  <c r="H1617" i="22"/>
  <c r="B1617" i="22"/>
  <c r="H1616" i="22"/>
  <c r="B1616" i="22"/>
  <c r="H1615" i="22"/>
  <c r="B1615" i="22"/>
  <c r="H1614" i="22"/>
  <c r="B1614" i="22"/>
  <c r="H1613" i="22"/>
  <c r="B1613" i="22"/>
  <c r="H1612" i="22"/>
  <c r="B1612" i="22"/>
  <c r="H1611" i="22"/>
  <c r="B1611" i="22"/>
  <c r="H1610" i="22"/>
  <c r="B1610" i="22"/>
  <c r="H1609" i="22"/>
  <c r="B1609" i="22"/>
  <c r="H1608" i="22"/>
  <c r="B1608" i="22"/>
  <c r="H1607" i="22"/>
  <c r="B1607" i="22"/>
  <c r="H1606" i="22"/>
  <c r="B1606" i="22"/>
  <c r="H1605" i="22"/>
  <c r="B1605" i="22"/>
  <c r="H1604" i="22"/>
  <c r="B1604" i="22"/>
  <c r="H1603" i="22"/>
  <c r="B1603" i="22"/>
  <c r="H1602" i="22"/>
  <c r="B1602" i="22"/>
  <c r="H1601" i="22"/>
  <c r="B1601" i="22"/>
  <c r="H1600" i="22"/>
  <c r="B1600" i="22"/>
  <c r="H1599" i="22"/>
  <c r="B1599" i="22"/>
  <c r="H1598" i="22"/>
  <c r="B1598" i="22"/>
  <c r="H1597" i="22"/>
  <c r="B1597" i="22"/>
  <c r="H1596" i="22"/>
  <c r="B1596" i="22"/>
  <c r="H1595" i="22"/>
  <c r="B1595" i="22"/>
  <c r="H1594" i="22"/>
  <c r="B1594" i="22"/>
  <c r="H1593" i="22"/>
  <c r="B1593" i="22"/>
  <c r="H1592" i="22"/>
  <c r="B1592" i="22"/>
  <c r="H1591" i="22"/>
  <c r="B1591" i="22"/>
  <c r="H1590" i="22"/>
  <c r="B1590" i="22"/>
  <c r="H1589" i="22"/>
  <c r="B1589" i="22"/>
  <c r="H1588" i="22"/>
  <c r="B1588" i="22"/>
  <c r="H1587" i="22"/>
  <c r="B1587" i="22"/>
  <c r="H1586" i="22"/>
  <c r="B1586" i="22"/>
  <c r="H1585" i="22"/>
  <c r="B1585" i="22"/>
  <c r="H1584" i="22"/>
  <c r="B1584" i="22"/>
  <c r="H1583" i="22"/>
  <c r="B1583" i="22"/>
  <c r="H1582" i="22"/>
  <c r="B1582" i="22"/>
  <c r="H1581" i="22"/>
  <c r="B1581" i="22"/>
  <c r="H1580" i="22"/>
  <c r="B1580" i="22"/>
  <c r="H1579" i="22"/>
  <c r="B1579" i="22"/>
  <c r="H1578" i="22"/>
  <c r="B1578" i="22"/>
  <c r="H1577" i="22"/>
  <c r="B1577" i="22"/>
  <c r="H1576" i="22"/>
  <c r="B1576" i="22"/>
  <c r="H1575" i="22"/>
  <c r="B1575" i="22"/>
  <c r="H1574" i="22"/>
  <c r="B1574" i="22"/>
  <c r="H1573" i="22"/>
  <c r="B1573" i="22"/>
  <c r="H1572" i="22"/>
  <c r="B1572" i="22"/>
  <c r="H1571" i="22"/>
  <c r="B1571" i="22"/>
  <c r="H1570" i="22"/>
  <c r="B1570" i="22"/>
  <c r="H1569" i="22"/>
  <c r="B1569" i="22"/>
  <c r="H1568" i="22"/>
  <c r="B1568" i="22"/>
  <c r="H1567" i="22"/>
  <c r="B1567" i="22"/>
  <c r="H1566" i="22"/>
  <c r="B1566" i="22"/>
  <c r="H1565" i="22"/>
  <c r="B1565" i="22"/>
  <c r="H1564" i="22"/>
  <c r="B1564" i="22"/>
  <c r="H1563" i="22"/>
  <c r="B1563" i="22"/>
  <c r="H1562" i="22"/>
  <c r="B1562" i="22"/>
  <c r="H1561" i="22"/>
  <c r="B1561" i="22"/>
  <c r="H1560" i="22"/>
  <c r="B1560" i="22"/>
  <c r="H1559" i="22"/>
  <c r="B1559" i="22"/>
  <c r="H1558" i="22"/>
  <c r="B1558" i="22"/>
  <c r="H1557" i="22"/>
  <c r="B1557" i="22"/>
  <c r="H1556" i="22"/>
  <c r="B1556" i="22"/>
  <c r="H1555" i="22"/>
  <c r="B1555" i="22"/>
  <c r="H1554" i="22"/>
  <c r="B1554" i="22"/>
  <c r="H1553" i="22"/>
  <c r="B1553" i="22"/>
  <c r="H1552" i="22"/>
  <c r="B1552" i="22"/>
  <c r="H1551" i="22"/>
  <c r="B1551" i="22"/>
  <c r="H1550" i="22"/>
  <c r="B1550" i="22"/>
  <c r="H1549" i="22"/>
  <c r="B1549" i="22"/>
  <c r="H1548" i="22"/>
  <c r="B1548" i="22"/>
  <c r="H1547" i="22"/>
  <c r="B1547" i="22"/>
  <c r="H1546" i="22"/>
  <c r="B1546" i="22"/>
  <c r="H1545" i="22"/>
  <c r="B1545" i="22"/>
  <c r="H1544" i="22"/>
  <c r="B1544" i="22"/>
  <c r="H1543" i="22"/>
  <c r="B1543" i="22"/>
  <c r="H1542" i="22"/>
  <c r="B1542" i="22"/>
  <c r="H1541" i="22"/>
  <c r="B1541" i="22"/>
  <c r="H1540" i="22"/>
  <c r="B1540" i="22"/>
  <c r="H1539" i="22"/>
  <c r="B1539" i="22"/>
  <c r="H1538" i="22"/>
  <c r="B1538" i="22"/>
  <c r="H1537" i="22"/>
  <c r="B1537" i="22"/>
  <c r="H1536" i="22"/>
  <c r="B1536" i="22"/>
  <c r="H1535" i="22"/>
  <c r="B1535" i="22"/>
  <c r="H1534" i="22"/>
  <c r="B1534" i="22"/>
  <c r="H1533" i="22"/>
  <c r="B1533" i="22"/>
  <c r="H1532" i="22"/>
  <c r="B1532" i="22"/>
  <c r="H1531" i="22"/>
  <c r="B1531" i="22"/>
  <c r="H1530" i="22"/>
  <c r="B1530" i="22"/>
  <c r="H1529" i="22"/>
  <c r="B1529" i="22"/>
  <c r="H1528" i="22"/>
  <c r="B1528" i="22"/>
  <c r="H1527" i="22"/>
  <c r="B1527" i="22"/>
  <c r="H1526" i="22"/>
  <c r="B1526" i="22"/>
  <c r="H1525" i="22"/>
  <c r="B1525" i="22"/>
  <c r="H1524" i="22"/>
  <c r="B1524" i="22"/>
  <c r="H1523" i="22"/>
  <c r="B1523" i="22"/>
  <c r="H1522" i="22"/>
  <c r="B1522" i="22"/>
  <c r="H1521" i="22"/>
  <c r="B1521" i="22"/>
  <c r="H1520" i="22"/>
  <c r="B1520" i="22"/>
  <c r="H1519" i="22"/>
  <c r="B1519" i="22"/>
  <c r="H1518" i="22"/>
  <c r="B1518" i="22"/>
  <c r="H1517" i="22"/>
  <c r="B1517" i="22"/>
  <c r="H1516" i="22"/>
  <c r="B1516" i="22"/>
  <c r="H1515" i="22"/>
  <c r="B1515" i="22"/>
  <c r="H1514" i="22"/>
  <c r="B1514" i="22"/>
  <c r="H1513" i="22"/>
  <c r="B1513" i="22"/>
  <c r="H1512" i="22"/>
  <c r="B1512" i="22"/>
  <c r="H1511" i="22"/>
  <c r="B1511" i="22"/>
  <c r="H1510" i="22"/>
  <c r="B1510" i="22"/>
  <c r="H1509" i="22"/>
  <c r="B1509" i="22"/>
  <c r="H1508" i="22"/>
  <c r="B1508" i="22"/>
  <c r="H1507" i="22"/>
  <c r="B1507" i="22"/>
  <c r="H1506" i="22"/>
  <c r="B1506" i="22"/>
  <c r="H1505" i="22"/>
  <c r="B1505" i="22"/>
  <c r="H1504" i="22"/>
  <c r="B1504" i="22"/>
  <c r="H1503" i="22"/>
  <c r="B1503" i="22"/>
  <c r="H1502" i="22"/>
  <c r="B1502" i="22"/>
  <c r="H1501" i="22"/>
  <c r="B1501" i="22"/>
  <c r="H1500" i="22"/>
  <c r="B1500" i="22"/>
  <c r="H1499" i="22"/>
  <c r="B1499" i="22"/>
  <c r="H1498" i="22"/>
  <c r="B1498" i="22"/>
  <c r="H1497" i="22"/>
  <c r="B1497" i="22"/>
  <c r="H1496" i="22"/>
  <c r="B1496" i="22"/>
  <c r="H1495" i="22"/>
  <c r="B1495" i="22"/>
  <c r="H1494" i="22"/>
  <c r="B1494" i="22"/>
  <c r="H1493" i="22"/>
  <c r="B1493" i="22"/>
  <c r="H1492" i="22"/>
  <c r="B1492" i="22"/>
  <c r="H1491" i="22"/>
  <c r="B1491" i="22"/>
  <c r="H1490" i="22"/>
  <c r="B1490" i="22"/>
  <c r="H1489" i="22"/>
  <c r="B1489" i="22"/>
  <c r="H1488" i="22"/>
  <c r="B1488" i="22"/>
  <c r="H1487" i="22"/>
  <c r="B1487" i="22"/>
  <c r="H1486" i="22"/>
  <c r="B1486" i="22"/>
  <c r="H1485" i="22"/>
  <c r="B1485" i="22"/>
  <c r="H1484" i="22"/>
  <c r="B1484" i="22"/>
  <c r="H1483" i="22"/>
  <c r="B1483" i="22"/>
  <c r="H1482" i="22"/>
  <c r="B1482" i="22"/>
  <c r="H1481" i="22"/>
  <c r="B1481" i="22"/>
  <c r="H1480" i="22"/>
  <c r="B1480" i="22"/>
  <c r="H1479" i="22"/>
  <c r="B1479" i="22"/>
  <c r="H1478" i="22"/>
  <c r="B1478" i="22"/>
  <c r="H1477" i="22"/>
  <c r="B1477" i="22"/>
  <c r="H1476" i="22"/>
  <c r="B1476" i="22"/>
  <c r="H1475" i="22"/>
  <c r="B1475" i="22"/>
  <c r="H1474" i="22"/>
  <c r="B1474" i="22"/>
  <c r="H1473" i="22"/>
  <c r="B1473" i="22"/>
  <c r="H1472" i="22"/>
  <c r="B1472" i="22"/>
  <c r="H1471" i="22"/>
  <c r="B1471" i="22"/>
  <c r="H1470" i="22"/>
  <c r="B1470" i="22"/>
  <c r="H1469" i="22"/>
  <c r="B1469" i="22"/>
  <c r="H1468" i="22"/>
  <c r="B1468" i="22"/>
  <c r="H1467" i="22"/>
  <c r="B1467" i="22"/>
  <c r="H1466" i="22"/>
  <c r="B1466" i="22"/>
  <c r="H1465" i="22"/>
  <c r="B1465" i="22"/>
  <c r="H1464" i="22"/>
  <c r="B1464" i="22"/>
  <c r="H1463" i="22"/>
  <c r="B1463" i="22"/>
  <c r="H1462" i="22"/>
  <c r="B1462" i="22"/>
  <c r="H1461" i="22"/>
  <c r="B1461" i="22"/>
  <c r="H1460" i="22"/>
  <c r="B1460" i="22"/>
  <c r="H1459" i="22"/>
  <c r="B1459" i="22"/>
  <c r="H1458" i="22"/>
  <c r="B1458" i="22"/>
  <c r="H1457" i="22"/>
  <c r="B1457" i="22"/>
  <c r="H1456" i="22"/>
  <c r="B1456" i="22"/>
  <c r="H1455" i="22"/>
  <c r="B1455" i="22"/>
  <c r="H1454" i="22"/>
  <c r="B1454" i="22"/>
  <c r="H1453" i="22"/>
  <c r="B1453" i="22"/>
  <c r="H1452" i="22"/>
  <c r="B1452" i="22"/>
  <c r="H1451" i="22"/>
  <c r="B1451" i="22"/>
  <c r="H1450" i="22"/>
  <c r="B1450" i="22"/>
  <c r="H1449" i="22"/>
  <c r="B1449" i="22"/>
  <c r="H1448" i="22"/>
  <c r="B1448" i="22"/>
  <c r="H1447" i="22"/>
  <c r="B1447" i="22"/>
  <c r="H1446" i="22"/>
  <c r="B1446" i="22"/>
  <c r="H1445" i="22"/>
  <c r="B1445" i="22"/>
  <c r="H1444" i="22"/>
  <c r="B1444" i="22"/>
  <c r="H1443" i="22"/>
  <c r="B1443" i="22"/>
  <c r="H1442" i="22"/>
  <c r="B1442" i="22"/>
  <c r="H1441" i="22"/>
  <c r="B1441" i="22"/>
  <c r="H1440" i="22"/>
  <c r="B1440" i="22"/>
  <c r="H1439" i="22"/>
  <c r="B1439" i="22"/>
  <c r="H1438" i="22"/>
  <c r="B1438" i="22"/>
  <c r="H1437" i="22"/>
  <c r="B1437" i="22"/>
  <c r="H1436" i="22"/>
  <c r="B1436" i="22"/>
  <c r="H1435" i="22"/>
  <c r="B1435" i="22"/>
  <c r="H1434" i="22"/>
  <c r="B1434" i="22"/>
  <c r="H1433" i="22"/>
  <c r="B1433" i="22"/>
  <c r="H1432" i="22"/>
  <c r="B1432" i="22"/>
  <c r="H1431" i="22"/>
  <c r="B1431" i="22"/>
  <c r="H1430" i="22"/>
  <c r="B1430" i="22"/>
  <c r="H1429" i="22"/>
  <c r="B1429" i="22"/>
  <c r="H1428" i="22"/>
  <c r="B1428" i="22"/>
  <c r="H1427" i="22"/>
  <c r="B1427" i="22"/>
  <c r="H1426" i="22"/>
  <c r="B1426" i="22"/>
  <c r="H1425" i="22"/>
  <c r="B1425" i="22"/>
  <c r="H1424" i="22"/>
  <c r="B1424" i="22"/>
  <c r="H1423" i="22"/>
  <c r="B1423" i="22"/>
  <c r="H1422" i="22"/>
  <c r="B1422" i="22"/>
  <c r="H1421" i="22"/>
  <c r="B1421" i="22"/>
  <c r="H1420" i="22"/>
  <c r="B1420" i="22"/>
  <c r="H1419" i="22"/>
  <c r="B1419" i="22"/>
  <c r="H1418" i="22"/>
  <c r="B1418" i="22"/>
  <c r="H1417" i="22"/>
  <c r="B1417" i="22"/>
  <c r="H1416" i="22"/>
  <c r="B1416" i="22"/>
  <c r="H1415" i="22"/>
  <c r="B1415" i="22"/>
  <c r="H1414" i="22"/>
  <c r="B1414" i="22"/>
  <c r="H1413" i="22"/>
  <c r="B1413" i="22"/>
  <c r="H1412" i="22"/>
  <c r="B1412" i="22"/>
  <c r="H1411" i="22"/>
  <c r="B1411" i="22"/>
  <c r="H1410" i="22"/>
  <c r="B1410" i="22"/>
  <c r="H1409" i="22"/>
  <c r="B1409" i="22"/>
  <c r="H1408" i="22"/>
  <c r="B1408" i="22"/>
  <c r="H1407" i="22"/>
  <c r="B1407" i="22"/>
  <c r="H1406" i="22"/>
  <c r="B1406" i="22"/>
  <c r="H1405" i="22"/>
  <c r="B1405" i="22"/>
  <c r="H1404" i="22"/>
  <c r="B1404" i="22"/>
  <c r="H1403" i="22"/>
  <c r="B1403" i="22"/>
  <c r="H1402" i="22"/>
  <c r="B1402" i="22"/>
  <c r="H1401" i="22"/>
  <c r="B1401" i="22"/>
  <c r="H1400" i="22"/>
  <c r="B1400" i="22"/>
  <c r="H1399" i="22"/>
  <c r="B1399" i="22"/>
  <c r="H1398" i="22"/>
  <c r="B1398" i="22"/>
  <c r="H1397" i="22"/>
  <c r="B1397" i="22"/>
  <c r="H1396" i="22"/>
  <c r="B1396" i="22"/>
  <c r="H1395" i="22"/>
  <c r="B1395" i="22"/>
  <c r="H1394" i="22"/>
  <c r="B1394" i="22"/>
  <c r="H1393" i="22"/>
  <c r="B1393" i="22"/>
  <c r="H1392" i="22"/>
  <c r="B1392" i="22"/>
  <c r="H1391" i="22"/>
  <c r="B1391" i="22"/>
  <c r="H1390" i="22"/>
  <c r="B1390" i="22"/>
  <c r="H1389" i="22"/>
  <c r="B1389" i="22"/>
  <c r="H1388" i="22"/>
  <c r="B1388" i="22"/>
  <c r="H1387" i="22"/>
  <c r="B1387" i="22"/>
  <c r="H1386" i="22"/>
  <c r="B1386" i="22"/>
  <c r="H1385" i="22"/>
  <c r="B1385" i="22"/>
  <c r="H1384" i="22"/>
  <c r="B1384" i="22"/>
  <c r="H1383" i="22"/>
  <c r="B1383" i="22"/>
  <c r="H1382" i="22"/>
  <c r="B1382" i="22"/>
  <c r="H1381" i="22"/>
  <c r="B1381" i="22"/>
  <c r="H1380" i="22"/>
  <c r="B1380" i="22"/>
  <c r="H1379" i="22"/>
  <c r="B1379" i="22"/>
  <c r="H1378" i="22"/>
  <c r="B1378" i="22"/>
  <c r="H1377" i="22"/>
  <c r="B1377" i="22"/>
  <c r="H1376" i="22"/>
  <c r="B1376" i="22"/>
  <c r="H1375" i="22"/>
  <c r="B1375" i="22"/>
  <c r="H1374" i="22"/>
  <c r="B1374" i="22"/>
  <c r="H1373" i="22"/>
  <c r="B1373" i="22"/>
  <c r="H1372" i="22"/>
  <c r="B1372" i="22"/>
  <c r="H1371" i="22"/>
  <c r="B1371" i="22"/>
  <c r="H1370" i="22"/>
  <c r="B1370" i="22"/>
  <c r="H1369" i="22"/>
  <c r="B1369" i="22"/>
  <c r="H1368" i="22"/>
  <c r="B1368" i="22"/>
  <c r="H1367" i="22"/>
  <c r="B1367" i="22"/>
  <c r="H1366" i="22"/>
  <c r="B1366" i="22"/>
  <c r="H1365" i="22"/>
  <c r="B1365" i="22"/>
  <c r="H1364" i="22"/>
  <c r="B1364" i="22"/>
  <c r="H1363" i="22"/>
  <c r="B1363" i="22"/>
  <c r="H1362" i="22"/>
  <c r="B1362" i="22"/>
  <c r="H1361" i="22"/>
  <c r="B1361" i="22"/>
  <c r="H1360" i="22"/>
  <c r="B1360" i="22"/>
  <c r="H1359" i="22"/>
  <c r="B1359" i="22"/>
  <c r="H1358" i="22"/>
  <c r="B1358" i="22"/>
  <c r="H1357" i="22"/>
  <c r="B1357" i="22"/>
  <c r="H1356" i="22"/>
  <c r="B1356" i="22"/>
  <c r="H1355" i="22"/>
  <c r="B1355" i="22"/>
  <c r="H1354" i="22"/>
  <c r="B1354" i="22"/>
  <c r="H1353" i="22"/>
  <c r="B1353" i="22"/>
  <c r="H1352" i="22"/>
  <c r="B1352" i="22"/>
  <c r="H1351" i="22"/>
  <c r="B1351" i="22"/>
  <c r="H1350" i="22"/>
  <c r="B1350" i="22"/>
  <c r="H1349" i="22"/>
  <c r="B1349" i="22"/>
  <c r="H1348" i="22"/>
  <c r="B1348" i="22"/>
  <c r="H1347" i="22"/>
  <c r="B1347" i="22"/>
  <c r="H1346" i="22"/>
  <c r="B1346" i="22"/>
  <c r="H1345" i="22"/>
  <c r="B1345" i="22"/>
  <c r="H1344" i="22"/>
  <c r="B1344" i="22"/>
  <c r="H1343" i="22"/>
  <c r="B1343" i="22"/>
  <c r="H1342" i="22"/>
  <c r="B1342" i="22"/>
  <c r="H1341" i="22"/>
  <c r="B1341" i="22"/>
  <c r="H1340" i="22"/>
  <c r="B1340" i="22"/>
  <c r="H1339" i="22"/>
  <c r="B1339" i="22"/>
  <c r="H1338" i="22"/>
  <c r="B1338" i="22"/>
  <c r="H1337" i="22"/>
  <c r="B1337" i="22"/>
  <c r="H1336" i="22"/>
  <c r="B1336" i="22"/>
  <c r="H1335" i="22"/>
  <c r="B1335" i="22"/>
  <c r="H1334" i="22"/>
  <c r="B1334" i="22"/>
  <c r="H1333" i="22"/>
  <c r="B1333" i="22"/>
  <c r="H1332" i="22"/>
  <c r="B1332" i="22"/>
  <c r="H1331" i="22"/>
  <c r="B1331" i="22"/>
  <c r="H1330" i="22"/>
  <c r="B1330" i="22"/>
  <c r="H1329" i="22"/>
  <c r="B1329" i="22"/>
  <c r="H1328" i="22"/>
  <c r="B1328" i="22"/>
  <c r="H1327" i="22"/>
  <c r="B1327" i="22"/>
  <c r="H1326" i="22"/>
  <c r="B1326" i="22"/>
  <c r="H1325" i="22"/>
  <c r="B1325" i="22"/>
  <c r="H1324" i="22"/>
  <c r="B1324" i="22"/>
  <c r="H1323" i="22"/>
  <c r="B1323" i="22"/>
  <c r="H1322" i="22"/>
  <c r="B1322" i="22"/>
  <c r="H1321" i="22"/>
  <c r="B1321" i="22"/>
  <c r="H1320" i="22"/>
  <c r="B1320" i="22"/>
  <c r="H1319" i="22"/>
  <c r="B1319" i="22"/>
  <c r="H1318" i="22"/>
  <c r="B1318" i="22"/>
  <c r="H1317" i="22"/>
  <c r="B1317" i="22"/>
  <c r="H1316" i="22"/>
  <c r="B1316" i="22"/>
  <c r="H1315" i="22"/>
  <c r="B1315" i="22"/>
  <c r="H1314" i="22"/>
  <c r="B1314" i="22"/>
  <c r="H1313" i="22"/>
  <c r="B1313" i="22"/>
  <c r="H1312" i="22"/>
  <c r="B1312" i="22"/>
  <c r="H1311" i="22"/>
  <c r="B1311" i="22"/>
  <c r="H1310" i="22"/>
  <c r="B1310" i="22"/>
  <c r="H1309" i="22"/>
  <c r="B1309" i="22"/>
  <c r="H1308" i="22"/>
  <c r="B1308" i="22"/>
  <c r="H1307" i="22"/>
  <c r="B1307" i="22"/>
  <c r="H1306" i="22"/>
  <c r="B1306" i="22"/>
  <c r="H1305" i="22"/>
  <c r="B1305" i="22"/>
  <c r="H1304" i="22"/>
  <c r="B1304" i="22"/>
  <c r="H1303" i="22"/>
  <c r="B1303" i="22"/>
  <c r="H1302" i="22"/>
  <c r="B1302" i="22"/>
  <c r="H1301" i="22"/>
  <c r="B1301" i="22"/>
  <c r="H1300" i="22"/>
  <c r="B1300" i="22"/>
  <c r="H1299" i="22"/>
  <c r="B1299" i="22"/>
  <c r="H1298" i="22"/>
  <c r="B1298" i="22"/>
  <c r="H1297" i="22"/>
  <c r="B1297" i="22"/>
  <c r="H1296" i="22"/>
  <c r="B1296" i="22"/>
  <c r="H1295" i="22"/>
  <c r="B1295" i="22"/>
  <c r="H1294" i="22"/>
  <c r="B1294" i="22"/>
  <c r="H1293" i="22"/>
  <c r="B1293" i="22"/>
  <c r="H1292" i="22"/>
  <c r="B1292" i="22"/>
  <c r="H1291" i="22"/>
  <c r="B1291" i="22"/>
  <c r="H1290" i="22"/>
  <c r="B1290" i="22"/>
  <c r="H1289" i="22"/>
  <c r="B1289" i="22"/>
  <c r="H1288" i="22"/>
  <c r="B1288" i="22"/>
  <c r="H1287" i="22"/>
  <c r="B1287" i="22"/>
  <c r="H1286" i="22"/>
  <c r="B1286" i="22"/>
  <c r="H1285" i="22"/>
  <c r="B1285" i="22"/>
  <c r="H1284" i="22"/>
  <c r="B1284" i="22"/>
  <c r="H1283" i="22"/>
  <c r="B1283" i="22"/>
  <c r="H1282" i="22"/>
  <c r="B1282" i="22"/>
  <c r="H1281" i="22"/>
  <c r="B1281" i="22"/>
  <c r="H1280" i="22"/>
  <c r="B1280" i="22"/>
  <c r="H1279" i="22"/>
  <c r="B1279" i="22"/>
  <c r="H1278" i="22"/>
  <c r="B1278" i="22"/>
  <c r="H1277" i="22"/>
  <c r="B1277" i="22"/>
  <c r="H1276" i="22"/>
  <c r="B1276" i="22"/>
  <c r="H1275" i="22"/>
  <c r="B1275" i="22"/>
  <c r="H1274" i="22"/>
  <c r="B1274" i="22"/>
  <c r="H1273" i="22"/>
  <c r="B1273" i="22"/>
  <c r="H1272" i="22"/>
  <c r="B1272" i="22"/>
  <c r="H1271" i="22"/>
  <c r="B1271" i="22"/>
  <c r="H1270" i="22"/>
  <c r="B1270" i="22"/>
  <c r="H1269" i="22"/>
  <c r="B1269" i="22"/>
  <c r="H1268" i="22"/>
  <c r="B1268" i="22"/>
  <c r="H1267" i="22"/>
  <c r="B1267" i="22"/>
  <c r="H1266" i="22"/>
  <c r="B1266" i="22"/>
  <c r="H1265" i="22"/>
  <c r="B1265" i="22"/>
  <c r="H1264" i="22"/>
  <c r="B1264" i="22"/>
  <c r="H1263" i="22"/>
  <c r="B1263" i="22"/>
  <c r="H1262" i="22"/>
  <c r="B1262" i="22"/>
  <c r="H1261" i="22"/>
  <c r="B1261" i="22"/>
  <c r="H1260" i="22"/>
  <c r="B1260" i="22"/>
  <c r="H1259" i="22"/>
  <c r="B1259" i="22"/>
  <c r="H1258" i="22"/>
  <c r="B1258" i="22"/>
  <c r="H1257" i="22"/>
  <c r="B1257" i="22"/>
  <c r="H1256" i="22"/>
  <c r="B1256" i="22"/>
  <c r="H1255" i="22"/>
  <c r="B1255" i="22"/>
  <c r="H1254" i="22"/>
  <c r="B1254" i="22"/>
  <c r="H1253" i="22"/>
  <c r="B1253" i="22"/>
  <c r="H1252" i="22"/>
  <c r="B1252" i="22"/>
  <c r="H1251" i="22"/>
  <c r="B1251" i="22"/>
  <c r="H1250" i="22"/>
  <c r="B1250" i="22"/>
  <c r="H1249" i="22"/>
  <c r="B1249" i="22"/>
  <c r="H1248" i="22"/>
  <c r="B1248" i="22"/>
  <c r="H1247" i="22"/>
  <c r="B1247" i="22"/>
  <c r="H1246" i="22"/>
  <c r="B1246" i="22"/>
  <c r="H1245" i="22"/>
  <c r="B1245" i="22"/>
  <c r="H1244" i="22"/>
  <c r="B1244" i="22"/>
  <c r="H1243" i="22"/>
  <c r="B1243" i="22"/>
  <c r="H1242" i="22"/>
  <c r="B1242" i="22"/>
  <c r="H1241" i="22"/>
  <c r="B1241" i="22"/>
  <c r="H1240" i="22"/>
  <c r="B1240" i="22"/>
  <c r="H1239" i="22"/>
  <c r="B1239" i="22"/>
  <c r="H1238" i="22"/>
  <c r="B1238" i="22"/>
  <c r="H1237" i="22"/>
  <c r="B1237" i="22"/>
  <c r="H1236" i="22"/>
  <c r="B1236" i="22"/>
  <c r="H1235" i="22"/>
  <c r="B1235" i="22"/>
  <c r="H1234" i="22"/>
  <c r="B1234" i="22"/>
  <c r="H1233" i="22"/>
  <c r="B1233" i="22"/>
  <c r="H1232" i="22"/>
  <c r="B1232" i="22"/>
  <c r="H1231" i="22"/>
  <c r="B1231" i="22"/>
  <c r="H1230" i="22"/>
  <c r="B1230" i="22"/>
  <c r="H1229" i="22"/>
  <c r="B1229" i="22"/>
  <c r="H1228" i="22"/>
  <c r="B1228" i="22"/>
  <c r="H1227" i="22"/>
  <c r="B1227" i="22"/>
  <c r="H1226" i="22"/>
  <c r="B1226" i="22"/>
  <c r="H1225" i="22"/>
  <c r="B1225" i="22"/>
  <c r="H1224" i="22"/>
  <c r="B1224" i="22"/>
  <c r="H1223" i="22"/>
  <c r="B1223" i="22"/>
  <c r="H1222" i="22"/>
  <c r="B1222" i="22"/>
  <c r="H1221" i="22"/>
  <c r="B1221" i="22"/>
  <c r="H1220" i="22"/>
  <c r="B1220" i="22"/>
  <c r="H1219" i="22"/>
  <c r="B1219" i="22"/>
  <c r="H1218" i="22"/>
  <c r="B1218" i="22"/>
  <c r="H1217" i="22"/>
  <c r="B1217" i="22"/>
  <c r="H1216" i="22"/>
  <c r="B1216" i="22"/>
  <c r="H1215" i="22"/>
  <c r="B1215" i="22"/>
  <c r="H1214" i="22"/>
  <c r="B1214" i="22"/>
  <c r="H1213" i="22"/>
  <c r="B1213" i="22"/>
  <c r="H1212" i="22"/>
  <c r="B1212" i="22"/>
  <c r="H1211" i="22"/>
  <c r="B1211" i="22"/>
  <c r="H1210" i="22"/>
  <c r="B1210" i="22"/>
  <c r="H1209" i="22"/>
  <c r="B1209" i="22"/>
  <c r="H1208" i="22"/>
  <c r="B1208" i="22"/>
  <c r="H1207" i="22"/>
  <c r="B1207" i="22"/>
  <c r="H1206" i="22"/>
  <c r="B1206" i="22"/>
  <c r="H1205" i="22"/>
  <c r="B1205" i="22"/>
  <c r="H1204" i="22"/>
  <c r="B1204" i="22"/>
  <c r="H1203" i="22"/>
  <c r="B1203" i="22"/>
  <c r="H1202" i="22"/>
  <c r="B1202" i="22"/>
  <c r="H1201" i="22"/>
  <c r="B1201" i="22"/>
  <c r="H1200" i="22"/>
  <c r="B1200" i="22"/>
  <c r="H1199" i="22"/>
  <c r="B1199" i="22"/>
  <c r="H1198" i="22"/>
  <c r="B1198" i="22"/>
  <c r="H1197" i="22"/>
  <c r="B1197" i="22"/>
  <c r="H1196" i="22"/>
  <c r="B1196" i="22"/>
  <c r="H1195" i="22"/>
  <c r="B1195" i="22"/>
  <c r="H1194" i="22"/>
  <c r="B1194" i="22"/>
  <c r="H1193" i="22"/>
  <c r="B1193" i="22"/>
  <c r="H1192" i="22"/>
  <c r="B1192" i="22"/>
  <c r="H1191" i="22"/>
  <c r="B1191" i="22"/>
  <c r="H1190" i="22"/>
  <c r="B1190" i="22"/>
  <c r="H1189" i="22"/>
  <c r="B1189" i="22"/>
  <c r="H1188" i="22"/>
  <c r="B1188" i="22"/>
  <c r="H1187" i="22"/>
  <c r="B1187" i="22"/>
  <c r="H1186" i="22"/>
  <c r="B1186" i="22"/>
  <c r="H1185" i="22"/>
  <c r="B1185" i="22"/>
  <c r="H1184" i="22"/>
  <c r="B1184" i="22"/>
  <c r="H1183" i="22"/>
  <c r="B1183" i="22"/>
  <c r="H1182" i="22"/>
  <c r="B1182" i="22"/>
  <c r="H1181" i="22"/>
  <c r="B1181" i="22"/>
  <c r="H1180" i="22"/>
  <c r="B1180" i="22"/>
  <c r="H1179" i="22"/>
  <c r="B1179" i="22"/>
  <c r="H1178" i="22"/>
  <c r="B1178" i="22"/>
  <c r="H1177" i="22"/>
  <c r="B1177" i="22"/>
  <c r="H1176" i="22"/>
  <c r="B1176" i="22"/>
  <c r="H1175" i="22"/>
  <c r="B1175" i="22"/>
  <c r="H1174" i="22"/>
  <c r="B1174" i="22"/>
  <c r="H1173" i="22"/>
  <c r="B1173" i="22"/>
  <c r="H1172" i="22"/>
  <c r="B1172" i="22"/>
  <c r="H1171" i="22"/>
  <c r="B1171" i="22"/>
  <c r="H1170" i="22"/>
  <c r="B1170" i="22"/>
  <c r="H1169" i="22"/>
  <c r="B1169" i="22"/>
  <c r="H1168" i="22"/>
  <c r="B1168" i="22"/>
  <c r="H1167" i="22"/>
  <c r="B1167" i="22"/>
  <c r="H1166" i="22"/>
  <c r="B1166" i="22"/>
  <c r="H1165" i="22"/>
  <c r="B1165" i="22"/>
  <c r="H1164" i="22"/>
  <c r="B1164" i="22"/>
  <c r="H1163" i="22"/>
  <c r="B1163" i="22"/>
  <c r="H1162" i="22"/>
  <c r="B1162" i="22"/>
  <c r="H1161" i="22"/>
  <c r="B1161" i="22"/>
  <c r="H1160" i="22"/>
  <c r="B1160" i="22"/>
  <c r="H1159" i="22"/>
  <c r="B1159" i="22"/>
  <c r="H1158" i="22"/>
  <c r="B1158" i="22"/>
  <c r="H1157" i="22"/>
  <c r="B1157" i="22"/>
  <c r="H1156" i="22"/>
  <c r="B1156" i="22"/>
  <c r="H1155" i="22"/>
  <c r="B1155" i="22"/>
  <c r="H1154" i="22"/>
  <c r="B1154" i="22"/>
  <c r="H1153" i="22"/>
  <c r="B1153" i="22"/>
  <c r="H1152" i="22"/>
  <c r="B1152" i="22"/>
  <c r="H1151" i="22"/>
  <c r="B1151" i="22"/>
  <c r="H1150" i="22"/>
  <c r="B1150" i="22"/>
  <c r="H1149" i="22"/>
  <c r="B1149" i="22"/>
  <c r="H1148" i="22"/>
  <c r="B1148" i="22"/>
  <c r="H1147" i="22"/>
  <c r="B1147" i="22"/>
  <c r="H1146" i="22"/>
  <c r="B1146" i="22"/>
  <c r="H1145" i="22"/>
  <c r="B1145" i="22"/>
  <c r="H1144" i="22"/>
  <c r="B1144" i="22"/>
  <c r="H1143" i="22"/>
  <c r="B1143" i="22"/>
  <c r="H1142" i="22"/>
  <c r="B1142" i="22"/>
  <c r="H1141" i="22"/>
  <c r="B1141" i="22"/>
  <c r="H1140" i="22"/>
  <c r="B1140" i="22"/>
  <c r="H1139" i="22"/>
  <c r="B1139" i="22"/>
  <c r="H1138" i="22"/>
  <c r="B1138" i="22"/>
  <c r="H1137" i="22"/>
  <c r="B1137" i="22"/>
  <c r="H1136" i="22"/>
  <c r="B1136" i="22"/>
  <c r="H1135" i="22"/>
  <c r="B1135" i="22"/>
  <c r="H1134" i="22"/>
  <c r="B1134" i="22"/>
  <c r="H1133" i="22"/>
  <c r="B1133" i="22"/>
  <c r="H1132" i="22"/>
  <c r="B1132" i="22"/>
  <c r="H1131" i="22"/>
  <c r="B1131" i="22"/>
  <c r="H1130" i="22"/>
  <c r="B1130" i="22"/>
  <c r="H1129" i="22"/>
  <c r="B1129" i="22"/>
  <c r="H1128" i="22"/>
  <c r="B1128" i="22"/>
  <c r="H1127" i="22"/>
  <c r="B1127" i="22"/>
  <c r="H1126" i="22"/>
  <c r="B1126" i="22"/>
  <c r="H1125" i="22"/>
  <c r="B1125" i="22"/>
  <c r="H1124" i="22"/>
  <c r="B1124" i="22"/>
  <c r="H1123" i="22"/>
  <c r="B1123" i="22"/>
  <c r="H1122" i="22"/>
  <c r="B1122" i="22"/>
  <c r="H1121" i="22"/>
  <c r="B1121" i="22"/>
  <c r="H1120" i="22"/>
  <c r="B1120" i="22"/>
  <c r="H1119" i="22"/>
  <c r="B1119" i="22"/>
  <c r="H1118" i="22"/>
  <c r="B1118" i="22"/>
  <c r="H1117" i="22"/>
  <c r="B1117" i="22"/>
  <c r="H1116" i="22"/>
  <c r="B1116" i="22"/>
  <c r="H1115" i="22"/>
  <c r="B1115" i="22"/>
  <c r="H1114" i="22"/>
  <c r="B1114" i="22"/>
  <c r="H1113" i="22"/>
  <c r="B1113" i="22"/>
  <c r="H1112" i="22"/>
  <c r="B1112" i="22"/>
  <c r="H1111" i="22"/>
  <c r="B1111" i="22"/>
  <c r="H1110" i="22"/>
  <c r="B1110" i="22"/>
  <c r="H1109" i="22"/>
  <c r="B1109" i="22"/>
  <c r="H1108" i="22"/>
  <c r="B1108" i="22"/>
  <c r="H1107" i="22"/>
  <c r="B1107" i="22"/>
  <c r="H1106" i="22"/>
  <c r="B1106" i="22"/>
  <c r="H1105" i="22"/>
  <c r="B1105" i="22"/>
  <c r="H1104" i="22"/>
  <c r="B1104" i="22"/>
  <c r="H1103" i="22"/>
  <c r="B1103" i="22"/>
  <c r="H1102" i="22"/>
  <c r="B1102" i="22"/>
  <c r="H1101" i="22"/>
  <c r="B1101" i="22"/>
  <c r="H1100" i="22"/>
  <c r="B1100" i="22"/>
  <c r="H1099" i="22"/>
  <c r="B1099" i="22"/>
  <c r="H1098" i="22"/>
  <c r="B1098" i="22"/>
  <c r="H1097" i="22"/>
  <c r="B1097" i="22"/>
  <c r="H1096" i="22"/>
  <c r="B1096" i="22"/>
  <c r="H1095" i="22"/>
  <c r="B1095" i="22"/>
  <c r="H1094" i="22"/>
  <c r="B1094" i="22"/>
  <c r="H1093" i="22"/>
  <c r="B1093" i="22"/>
  <c r="H1092" i="22"/>
  <c r="B1092" i="22"/>
  <c r="H1091" i="22"/>
  <c r="B1091" i="22"/>
  <c r="H1090" i="22"/>
  <c r="B1090" i="22"/>
  <c r="H1089" i="22"/>
  <c r="B1089" i="22"/>
  <c r="H1088" i="22"/>
  <c r="B1088" i="22"/>
  <c r="H1087" i="22"/>
  <c r="B1087" i="22"/>
  <c r="H1086" i="22"/>
  <c r="B1086" i="22"/>
  <c r="H1085" i="22"/>
  <c r="B1085" i="22"/>
  <c r="H1084" i="22"/>
  <c r="B1084" i="22"/>
  <c r="H1083" i="22"/>
  <c r="B1083" i="22"/>
  <c r="H1082" i="22"/>
  <c r="B1082" i="22"/>
  <c r="H1081" i="22"/>
  <c r="B1081" i="22"/>
  <c r="H1080" i="22"/>
  <c r="B1080" i="22"/>
  <c r="H1079" i="22"/>
  <c r="B1079" i="22"/>
  <c r="H1078" i="22"/>
  <c r="B1078" i="22"/>
  <c r="H1077" i="22"/>
  <c r="B1077" i="22"/>
  <c r="H1076" i="22"/>
  <c r="B1076" i="22"/>
  <c r="H1075" i="22"/>
  <c r="B1075" i="22"/>
  <c r="H1074" i="22"/>
  <c r="B1074" i="22"/>
  <c r="H1073" i="22"/>
  <c r="B1073" i="22"/>
  <c r="H1072" i="22"/>
  <c r="B1072" i="22"/>
  <c r="H1071" i="22"/>
  <c r="B1071" i="22"/>
  <c r="H1070" i="22"/>
  <c r="B1070" i="22"/>
  <c r="H1069" i="22"/>
  <c r="B1069" i="22"/>
  <c r="H1068" i="22"/>
  <c r="B1068" i="22"/>
  <c r="H1067" i="22"/>
  <c r="B1067" i="22"/>
  <c r="H1066" i="22"/>
  <c r="B1066" i="22"/>
  <c r="H1065" i="22"/>
  <c r="B1065" i="22"/>
  <c r="H1064" i="22"/>
  <c r="B1064" i="22"/>
  <c r="H1063" i="22"/>
  <c r="B1063" i="22"/>
  <c r="H1062" i="22"/>
  <c r="B1062" i="22"/>
  <c r="H1061" i="22"/>
  <c r="B1061" i="22"/>
  <c r="H1060" i="22"/>
  <c r="B1060" i="22"/>
  <c r="H1059" i="22"/>
  <c r="B1059" i="22"/>
  <c r="H1058" i="22"/>
  <c r="B1058" i="22"/>
  <c r="H1057" i="22"/>
  <c r="B1057" i="22"/>
  <c r="H1056" i="22"/>
  <c r="B1056" i="22"/>
  <c r="H1055" i="22"/>
  <c r="B1055" i="22"/>
  <c r="H1054" i="22"/>
  <c r="B1054" i="22"/>
  <c r="H1053" i="22"/>
  <c r="B1053" i="22"/>
  <c r="H1052" i="22"/>
  <c r="B1052" i="22"/>
  <c r="H1051" i="22"/>
  <c r="B1051" i="22"/>
  <c r="H1050" i="22"/>
  <c r="B1050" i="22"/>
  <c r="H1049" i="22"/>
  <c r="B1049" i="22"/>
  <c r="H1048" i="22"/>
  <c r="B1048" i="22"/>
  <c r="H1047" i="22"/>
  <c r="B1047" i="22"/>
  <c r="H1046" i="22"/>
  <c r="B1046" i="22"/>
  <c r="H1045" i="22"/>
  <c r="B1045" i="22"/>
  <c r="H1044" i="22"/>
  <c r="B1044" i="22"/>
  <c r="H1043" i="22"/>
  <c r="B1043" i="22"/>
  <c r="H1042" i="22"/>
  <c r="B1042" i="22"/>
  <c r="H1041" i="22"/>
  <c r="B1041" i="22"/>
  <c r="H1040" i="22"/>
  <c r="B1040" i="22"/>
  <c r="H1039" i="22"/>
  <c r="B1039" i="22"/>
  <c r="H1038" i="22"/>
  <c r="B1038" i="22"/>
  <c r="H1037" i="22"/>
  <c r="B1037" i="22"/>
  <c r="H1036" i="22"/>
  <c r="B1036" i="22"/>
  <c r="H1035" i="22"/>
  <c r="B1035" i="22"/>
  <c r="H1034" i="22"/>
  <c r="B1034" i="22"/>
  <c r="H1033" i="22"/>
  <c r="B1033" i="22"/>
  <c r="H1032" i="22"/>
  <c r="B1032" i="22"/>
  <c r="H1031" i="22"/>
  <c r="B1031" i="22"/>
  <c r="H1030" i="22"/>
  <c r="B1030" i="22"/>
  <c r="H1029" i="22"/>
  <c r="B1029" i="22"/>
  <c r="H1028" i="22"/>
  <c r="B1028" i="22"/>
  <c r="H1027" i="22"/>
  <c r="B1027" i="22"/>
  <c r="H1026" i="22"/>
  <c r="B1026" i="22"/>
  <c r="H1025" i="22"/>
  <c r="B1025" i="22"/>
  <c r="H1024" i="22"/>
  <c r="B1024" i="22"/>
  <c r="H1023" i="22"/>
  <c r="B1023" i="22"/>
  <c r="H1022" i="22"/>
  <c r="B1022" i="22"/>
  <c r="H1021" i="22"/>
  <c r="B1021" i="22"/>
  <c r="H1020" i="22"/>
  <c r="B1020" i="22"/>
  <c r="H1019" i="22"/>
  <c r="B1019" i="22"/>
  <c r="H1018" i="22"/>
  <c r="B1018" i="22"/>
  <c r="H1017" i="22"/>
  <c r="B1017" i="22"/>
  <c r="H1016" i="22"/>
  <c r="B1016" i="22"/>
  <c r="H1015" i="22"/>
  <c r="B1015" i="22"/>
  <c r="H1014" i="22"/>
  <c r="B1014" i="22"/>
  <c r="H1013" i="22"/>
  <c r="B1013" i="22"/>
  <c r="H1012" i="22"/>
  <c r="B1012" i="22"/>
  <c r="H1011" i="22"/>
  <c r="B1011" i="22"/>
  <c r="H1010" i="22"/>
  <c r="B1010" i="22"/>
  <c r="H1009" i="22"/>
  <c r="B1009" i="22"/>
  <c r="H1008" i="22"/>
  <c r="B1008" i="22"/>
  <c r="H1007" i="22"/>
  <c r="B1007" i="22"/>
  <c r="H1006" i="22"/>
  <c r="B1006" i="22"/>
  <c r="H1005" i="22"/>
  <c r="B1005" i="22"/>
  <c r="H1004" i="22"/>
  <c r="B1004" i="22"/>
  <c r="H1003" i="22"/>
  <c r="B1003" i="22"/>
  <c r="H1002" i="22"/>
  <c r="B1002" i="22"/>
  <c r="H1001" i="22"/>
  <c r="B1001" i="22"/>
  <c r="H1000" i="22"/>
  <c r="B1000" i="22"/>
  <c r="H999" i="22"/>
  <c r="B999" i="22"/>
  <c r="H998" i="22"/>
  <c r="B998" i="22"/>
  <c r="H997" i="22"/>
  <c r="B997" i="22"/>
  <c r="H996" i="22"/>
  <c r="B996" i="22"/>
  <c r="H995" i="22"/>
  <c r="B995" i="22"/>
  <c r="H994" i="22"/>
  <c r="B994" i="22"/>
  <c r="H993" i="22"/>
  <c r="B993" i="22"/>
  <c r="H992" i="22"/>
  <c r="B992" i="22"/>
  <c r="H991" i="22"/>
  <c r="B991" i="22"/>
  <c r="H990" i="22"/>
  <c r="B990" i="22"/>
  <c r="H989" i="22"/>
  <c r="B989" i="22"/>
  <c r="H988" i="22"/>
  <c r="B988" i="22"/>
  <c r="H987" i="22"/>
  <c r="B987" i="22"/>
  <c r="H986" i="22"/>
  <c r="B986" i="22"/>
  <c r="H985" i="22"/>
  <c r="B985" i="22"/>
  <c r="H984" i="22"/>
  <c r="B984" i="22"/>
  <c r="H983" i="22"/>
  <c r="B983" i="22"/>
  <c r="H982" i="22"/>
  <c r="B982" i="22"/>
  <c r="H981" i="22"/>
  <c r="B981" i="22"/>
  <c r="H980" i="22"/>
  <c r="B980" i="22"/>
  <c r="H979" i="22"/>
  <c r="B979" i="22"/>
  <c r="H978" i="22"/>
  <c r="B978" i="22"/>
  <c r="H977" i="22"/>
  <c r="B977" i="22"/>
  <c r="H976" i="22"/>
  <c r="B976" i="22"/>
  <c r="H975" i="22"/>
  <c r="B975" i="22"/>
  <c r="H974" i="22"/>
  <c r="B974" i="22"/>
  <c r="H973" i="22"/>
  <c r="B973" i="22"/>
  <c r="H972" i="22"/>
  <c r="B972" i="22"/>
  <c r="H971" i="22"/>
  <c r="B971" i="22"/>
  <c r="H970" i="22"/>
  <c r="B970" i="22"/>
  <c r="H969" i="22"/>
  <c r="B969" i="22"/>
  <c r="H968" i="22"/>
  <c r="B968" i="22"/>
  <c r="H967" i="22"/>
  <c r="B967" i="22"/>
  <c r="H966" i="22"/>
  <c r="B966" i="22"/>
  <c r="H965" i="22"/>
  <c r="B965" i="22"/>
  <c r="H964" i="22"/>
  <c r="B964" i="22"/>
  <c r="H963" i="22"/>
  <c r="B963" i="22"/>
  <c r="H962" i="22"/>
  <c r="B962" i="22"/>
  <c r="H961" i="22"/>
  <c r="B961" i="22"/>
  <c r="H960" i="22"/>
  <c r="B960" i="22"/>
  <c r="H959" i="22"/>
  <c r="B959" i="22"/>
  <c r="H958" i="22"/>
  <c r="B958" i="22"/>
  <c r="H957" i="22"/>
  <c r="B957" i="22"/>
  <c r="H956" i="22"/>
  <c r="B956" i="22"/>
  <c r="H955" i="22"/>
  <c r="B955" i="22"/>
  <c r="H954" i="22"/>
  <c r="B954" i="22"/>
  <c r="H953" i="22"/>
  <c r="B953" i="22"/>
  <c r="H952" i="22"/>
  <c r="B952" i="22"/>
  <c r="H951" i="22"/>
  <c r="B951" i="22"/>
  <c r="H950" i="22"/>
  <c r="B950" i="22"/>
  <c r="H949" i="22"/>
  <c r="B949" i="22"/>
  <c r="H948" i="22"/>
  <c r="B948" i="22"/>
  <c r="H947" i="22"/>
  <c r="B947" i="22"/>
  <c r="H946" i="22"/>
  <c r="B946" i="22"/>
  <c r="H945" i="22"/>
  <c r="B945" i="22"/>
  <c r="H944" i="22"/>
  <c r="B944" i="22"/>
  <c r="H943" i="22"/>
  <c r="B943" i="22"/>
  <c r="H942" i="22"/>
  <c r="B942" i="22"/>
  <c r="H941" i="22"/>
  <c r="B941" i="22"/>
  <c r="H940" i="22"/>
  <c r="B940" i="22"/>
  <c r="H939" i="22"/>
  <c r="B939" i="22"/>
  <c r="H938" i="22"/>
  <c r="B938" i="22"/>
  <c r="H937" i="22"/>
  <c r="B937" i="22"/>
  <c r="H936" i="22"/>
  <c r="B936" i="22"/>
  <c r="H935" i="22"/>
  <c r="B935" i="22"/>
  <c r="H934" i="22"/>
  <c r="B934" i="22"/>
  <c r="H933" i="22"/>
  <c r="B933" i="22"/>
  <c r="H932" i="22"/>
  <c r="B932" i="22"/>
  <c r="H931" i="22"/>
  <c r="B931" i="22"/>
  <c r="H930" i="22"/>
  <c r="B930" i="22"/>
  <c r="H929" i="22"/>
  <c r="B929" i="22"/>
  <c r="H928" i="22"/>
  <c r="B928" i="22"/>
  <c r="H927" i="22"/>
  <c r="B927" i="22"/>
  <c r="H926" i="22"/>
  <c r="B926" i="22"/>
  <c r="H925" i="22"/>
  <c r="B925" i="22"/>
  <c r="H924" i="22"/>
  <c r="B924" i="22"/>
  <c r="H923" i="22"/>
  <c r="B923" i="22"/>
  <c r="H922" i="22"/>
  <c r="B922" i="22"/>
  <c r="H921" i="22"/>
  <c r="B921" i="22"/>
  <c r="H920" i="22"/>
  <c r="B920" i="22"/>
  <c r="H919" i="22"/>
  <c r="B919" i="22"/>
  <c r="H918" i="22"/>
  <c r="B918" i="22"/>
  <c r="H917" i="22"/>
  <c r="B917" i="22"/>
  <c r="H916" i="22"/>
  <c r="B916" i="22"/>
  <c r="H915" i="22"/>
  <c r="B915" i="22"/>
  <c r="H914" i="22"/>
  <c r="B914" i="22"/>
  <c r="H913" i="22"/>
  <c r="B913" i="22"/>
  <c r="H912" i="22"/>
  <c r="B912" i="22"/>
  <c r="H911" i="22"/>
  <c r="B911" i="22"/>
  <c r="H910" i="22"/>
  <c r="B910" i="22"/>
  <c r="H909" i="22"/>
  <c r="B909" i="22"/>
  <c r="H908" i="22"/>
  <c r="B908" i="22"/>
  <c r="H907" i="22"/>
  <c r="B907" i="22"/>
  <c r="H906" i="22"/>
  <c r="B906" i="22"/>
  <c r="H905" i="22"/>
  <c r="B905" i="22"/>
  <c r="H904" i="22"/>
  <c r="B904" i="22"/>
  <c r="H903" i="22"/>
  <c r="B903" i="22"/>
  <c r="H902" i="22"/>
  <c r="B902" i="22"/>
  <c r="H901" i="22"/>
  <c r="B901" i="22"/>
  <c r="H900" i="22"/>
  <c r="B900" i="22"/>
  <c r="H899" i="22"/>
  <c r="B899" i="22"/>
  <c r="H898" i="22"/>
  <c r="B898" i="22"/>
  <c r="H897" i="22"/>
  <c r="B897" i="22"/>
  <c r="H896" i="22"/>
  <c r="B896" i="22"/>
  <c r="H895" i="22"/>
  <c r="B895" i="22"/>
  <c r="H894" i="22"/>
  <c r="B894" i="22"/>
  <c r="H893" i="22"/>
  <c r="B893" i="22"/>
  <c r="H892" i="22"/>
  <c r="B892" i="22"/>
  <c r="H891" i="22"/>
  <c r="B891" i="22"/>
  <c r="H890" i="22"/>
  <c r="B890" i="22"/>
  <c r="H889" i="22"/>
  <c r="B889" i="22"/>
  <c r="H888" i="22"/>
  <c r="B888" i="22"/>
  <c r="H887" i="22"/>
  <c r="B887" i="22"/>
  <c r="H886" i="22"/>
  <c r="B886" i="22"/>
  <c r="H885" i="22"/>
  <c r="B885" i="22"/>
  <c r="H884" i="22"/>
  <c r="B884" i="22"/>
  <c r="H883" i="22"/>
  <c r="B883" i="22"/>
  <c r="H882" i="22"/>
  <c r="B882" i="22"/>
  <c r="H881" i="22"/>
  <c r="B881" i="22"/>
  <c r="H880" i="22"/>
  <c r="B880" i="22"/>
  <c r="H879" i="22"/>
  <c r="B879" i="22"/>
  <c r="H878" i="22"/>
  <c r="B878" i="22"/>
  <c r="H877" i="22"/>
  <c r="B877" i="22"/>
  <c r="H876" i="22"/>
  <c r="B876" i="22"/>
  <c r="H875" i="22"/>
  <c r="B875" i="22"/>
  <c r="H874" i="22"/>
  <c r="B874" i="22"/>
  <c r="H873" i="22"/>
  <c r="B873" i="22"/>
  <c r="H872" i="22"/>
  <c r="B872" i="22"/>
  <c r="H871" i="22"/>
  <c r="B871" i="22"/>
  <c r="H870" i="22"/>
  <c r="B870" i="22"/>
  <c r="H869" i="22"/>
  <c r="B869" i="22"/>
  <c r="H868" i="22"/>
  <c r="B868" i="22"/>
  <c r="H867" i="22"/>
  <c r="B867" i="22"/>
  <c r="H866" i="22"/>
  <c r="B866" i="22"/>
  <c r="H865" i="22"/>
  <c r="B865" i="22"/>
  <c r="H864" i="22"/>
  <c r="B864" i="22"/>
  <c r="H863" i="22"/>
  <c r="B863" i="22"/>
  <c r="H862" i="22"/>
  <c r="B862" i="22"/>
  <c r="H861" i="22"/>
  <c r="B861" i="22"/>
  <c r="H860" i="22"/>
  <c r="B860" i="22"/>
  <c r="H859" i="22"/>
  <c r="B859" i="22"/>
  <c r="H858" i="22"/>
  <c r="B858" i="22"/>
  <c r="H857" i="22"/>
  <c r="B857" i="22"/>
  <c r="H856" i="22"/>
  <c r="B856" i="22"/>
  <c r="H855" i="22"/>
  <c r="B855" i="22"/>
  <c r="H854" i="22"/>
  <c r="B854" i="22"/>
  <c r="H853" i="22"/>
  <c r="B853" i="22"/>
  <c r="H852" i="22"/>
  <c r="B852" i="22"/>
  <c r="H851" i="22"/>
  <c r="B851" i="22"/>
  <c r="H850" i="22"/>
  <c r="B850" i="22"/>
  <c r="H849" i="22"/>
  <c r="B849" i="22"/>
  <c r="H848" i="22"/>
  <c r="B848" i="22"/>
  <c r="H847" i="22"/>
  <c r="B847" i="22"/>
  <c r="H846" i="22"/>
  <c r="B846" i="22"/>
  <c r="H845" i="22"/>
  <c r="B845" i="22"/>
  <c r="H844" i="22"/>
  <c r="B844" i="22"/>
  <c r="H843" i="22"/>
  <c r="B843" i="22"/>
  <c r="H842" i="22"/>
  <c r="B842" i="22"/>
  <c r="H841" i="22"/>
  <c r="B841" i="22"/>
  <c r="H840" i="22"/>
  <c r="B840" i="22"/>
  <c r="H839" i="22"/>
  <c r="B839" i="22"/>
  <c r="H838" i="22"/>
  <c r="B838" i="22"/>
  <c r="H837" i="22"/>
  <c r="B837" i="22"/>
  <c r="H836" i="22"/>
  <c r="B836" i="22"/>
  <c r="H835" i="22"/>
  <c r="B835" i="22"/>
  <c r="H834" i="22"/>
  <c r="B834" i="22"/>
  <c r="H833" i="22"/>
  <c r="B833" i="22"/>
  <c r="H832" i="22"/>
  <c r="B832" i="22"/>
  <c r="H831" i="22"/>
  <c r="B831" i="22"/>
  <c r="H830" i="22"/>
  <c r="B830" i="22"/>
  <c r="H829" i="22"/>
  <c r="B829" i="22"/>
  <c r="H828" i="22"/>
  <c r="B828" i="22"/>
  <c r="H827" i="22"/>
  <c r="B827" i="22"/>
  <c r="H826" i="22"/>
  <c r="B826" i="22"/>
  <c r="H825" i="22"/>
  <c r="B825" i="22"/>
  <c r="H824" i="22"/>
  <c r="B824" i="22"/>
  <c r="H823" i="22"/>
  <c r="B823" i="22"/>
  <c r="H822" i="22"/>
  <c r="B822" i="22"/>
  <c r="H821" i="22"/>
  <c r="B821" i="22"/>
  <c r="H820" i="22"/>
  <c r="B820" i="22"/>
  <c r="H819" i="22"/>
  <c r="B819" i="22"/>
  <c r="H818" i="22"/>
  <c r="B818" i="22"/>
  <c r="H817" i="22"/>
  <c r="B817" i="22"/>
  <c r="H816" i="22"/>
  <c r="B816" i="22"/>
  <c r="H815" i="22"/>
  <c r="B815" i="22"/>
  <c r="H814" i="22"/>
  <c r="B814" i="22"/>
  <c r="H813" i="22"/>
  <c r="B813" i="22"/>
  <c r="H812" i="22"/>
  <c r="B812" i="22"/>
  <c r="H811" i="22"/>
  <c r="B811" i="22"/>
  <c r="H810" i="22"/>
  <c r="B810" i="22"/>
  <c r="H809" i="22"/>
  <c r="B809" i="22"/>
  <c r="H808" i="22"/>
  <c r="B808" i="22"/>
  <c r="H807" i="22"/>
  <c r="B807" i="22"/>
  <c r="H806" i="22"/>
  <c r="B806" i="22"/>
  <c r="H805" i="22"/>
  <c r="B805" i="22"/>
  <c r="H804" i="22"/>
  <c r="B804" i="22"/>
  <c r="H803" i="22"/>
  <c r="B803" i="22"/>
  <c r="H802" i="22"/>
  <c r="B802" i="22"/>
  <c r="H801" i="22"/>
  <c r="B801" i="22"/>
  <c r="H800" i="22"/>
  <c r="B800" i="22"/>
  <c r="H799" i="22"/>
  <c r="B799" i="22"/>
  <c r="H798" i="22"/>
  <c r="B798" i="22"/>
  <c r="H797" i="22"/>
  <c r="B797" i="22"/>
  <c r="H796" i="22"/>
  <c r="B796" i="22"/>
  <c r="H795" i="22"/>
  <c r="B795" i="22"/>
  <c r="H794" i="22"/>
  <c r="B794" i="22"/>
  <c r="H793" i="22"/>
  <c r="B793" i="22"/>
  <c r="H792" i="22"/>
  <c r="B792" i="22"/>
  <c r="H791" i="22"/>
  <c r="B791" i="22"/>
  <c r="H790" i="22"/>
  <c r="B790" i="22"/>
  <c r="H789" i="22"/>
  <c r="B789" i="22"/>
  <c r="H788" i="22"/>
  <c r="B788" i="22"/>
  <c r="H787" i="22"/>
  <c r="B787" i="22"/>
  <c r="H786" i="22"/>
  <c r="B786" i="22"/>
  <c r="H785" i="22"/>
  <c r="B785" i="22"/>
  <c r="H784" i="22"/>
  <c r="B784" i="22"/>
  <c r="H783" i="22"/>
  <c r="B783" i="22"/>
  <c r="H782" i="22"/>
  <c r="B782" i="22"/>
  <c r="H781" i="22"/>
  <c r="B781" i="22"/>
  <c r="H780" i="22"/>
  <c r="B780" i="22"/>
  <c r="H779" i="22"/>
  <c r="B779" i="22"/>
  <c r="H778" i="22"/>
  <c r="B778" i="22"/>
  <c r="H777" i="22"/>
  <c r="B777" i="22"/>
  <c r="H776" i="22"/>
  <c r="B776" i="22"/>
  <c r="H775" i="22"/>
  <c r="B775" i="22"/>
  <c r="H774" i="22"/>
  <c r="B774" i="22"/>
  <c r="H773" i="22"/>
  <c r="B773" i="22"/>
  <c r="H772" i="22"/>
  <c r="B772" i="22"/>
  <c r="H771" i="22"/>
  <c r="B771" i="22"/>
  <c r="H770" i="22"/>
  <c r="B770" i="22"/>
  <c r="H769" i="22"/>
  <c r="B769" i="22"/>
  <c r="H768" i="22"/>
  <c r="B768" i="22"/>
  <c r="H767" i="22"/>
  <c r="B767" i="22"/>
  <c r="H766" i="22"/>
  <c r="B766" i="22"/>
  <c r="H765" i="22"/>
  <c r="B765" i="22"/>
  <c r="H764" i="22"/>
  <c r="B764" i="22"/>
  <c r="H763" i="22"/>
  <c r="B763" i="22"/>
  <c r="H762" i="22"/>
  <c r="B762" i="22"/>
  <c r="H761" i="22"/>
  <c r="B761" i="22"/>
  <c r="H760" i="22"/>
  <c r="B760" i="22"/>
  <c r="H759" i="22"/>
  <c r="B759" i="22"/>
  <c r="H758" i="22"/>
  <c r="B758" i="22"/>
  <c r="H757" i="22"/>
  <c r="B757" i="22"/>
  <c r="H756" i="22"/>
  <c r="B756" i="22"/>
  <c r="H755" i="22"/>
  <c r="B755" i="22"/>
  <c r="H754" i="22"/>
  <c r="B754" i="22"/>
  <c r="H753" i="22"/>
  <c r="B753" i="22"/>
  <c r="H752" i="22"/>
  <c r="B752" i="22"/>
  <c r="H751" i="22"/>
  <c r="B751" i="22"/>
  <c r="H750" i="22"/>
  <c r="B750" i="22"/>
  <c r="H749" i="22"/>
  <c r="B749" i="22"/>
  <c r="H748" i="22"/>
  <c r="B748" i="22"/>
  <c r="H747" i="22"/>
  <c r="B747" i="22"/>
  <c r="H746" i="22"/>
  <c r="B746" i="22"/>
  <c r="H745" i="22"/>
  <c r="B745" i="22"/>
  <c r="H744" i="22"/>
  <c r="B744" i="22"/>
  <c r="H743" i="22"/>
  <c r="B743" i="22"/>
  <c r="H742" i="22"/>
  <c r="B742" i="22"/>
  <c r="H741" i="22"/>
  <c r="B741" i="22"/>
  <c r="H740" i="22"/>
  <c r="B740" i="22"/>
  <c r="H739" i="22"/>
  <c r="B739" i="22"/>
  <c r="H738" i="22"/>
  <c r="B738" i="22"/>
  <c r="H737" i="22"/>
  <c r="B737" i="22"/>
  <c r="H736" i="22"/>
  <c r="B736" i="22"/>
  <c r="H735" i="22"/>
  <c r="B735" i="22"/>
  <c r="H734" i="22"/>
  <c r="B734" i="22"/>
  <c r="H733" i="22"/>
  <c r="B733" i="22"/>
  <c r="H732" i="22"/>
  <c r="B732" i="22"/>
  <c r="H731" i="22"/>
  <c r="B731" i="22"/>
  <c r="H730" i="22"/>
  <c r="B730" i="22"/>
  <c r="H729" i="22"/>
  <c r="B729" i="22"/>
  <c r="H728" i="22"/>
  <c r="B728" i="22"/>
  <c r="H727" i="22"/>
  <c r="B727" i="22"/>
  <c r="H726" i="22"/>
  <c r="B726" i="22"/>
  <c r="H725" i="22"/>
  <c r="B725" i="22"/>
  <c r="H724" i="22"/>
  <c r="B724" i="22"/>
  <c r="H723" i="22"/>
  <c r="B723" i="22"/>
  <c r="H722" i="22"/>
  <c r="B722" i="22"/>
  <c r="H721" i="22"/>
  <c r="B721" i="22"/>
  <c r="H720" i="22"/>
  <c r="B720" i="22"/>
  <c r="H719" i="22"/>
  <c r="B719" i="22"/>
  <c r="H718" i="22"/>
  <c r="B718" i="22"/>
  <c r="H717" i="22"/>
  <c r="B717" i="22"/>
  <c r="H716" i="22"/>
  <c r="B716" i="22"/>
  <c r="H715" i="22"/>
  <c r="B715" i="22"/>
  <c r="H714" i="22"/>
  <c r="B714" i="22"/>
  <c r="H713" i="22"/>
  <c r="B713" i="22"/>
  <c r="H712" i="22"/>
  <c r="B712" i="22"/>
  <c r="H711" i="22"/>
  <c r="B711" i="22"/>
  <c r="H710" i="22"/>
  <c r="B710" i="22"/>
  <c r="H709" i="22"/>
  <c r="B709" i="22"/>
  <c r="H708" i="22"/>
  <c r="B708" i="22"/>
  <c r="H707" i="22"/>
  <c r="B707" i="22"/>
  <c r="H706" i="22"/>
  <c r="B706" i="22"/>
  <c r="H705" i="22"/>
  <c r="B705" i="22"/>
  <c r="H704" i="22"/>
  <c r="B704" i="22"/>
  <c r="H703" i="22"/>
  <c r="B703" i="22"/>
  <c r="H702" i="22"/>
  <c r="B702" i="22"/>
  <c r="H701" i="22"/>
  <c r="B701" i="22"/>
  <c r="H700" i="22"/>
  <c r="B700" i="22"/>
  <c r="H699" i="22"/>
  <c r="B699" i="22"/>
  <c r="H698" i="22"/>
  <c r="B698" i="22"/>
  <c r="H697" i="22"/>
  <c r="B697" i="22"/>
  <c r="H696" i="22"/>
  <c r="B696" i="22"/>
  <c r="H695" i="22"/>
  <c r="B695" i="22"/>
  <c r="H694" i="22"/>
  <c r="B694" i="22"/>
  <c r="H693" i="22"/>
  <c r="B693" i="22"/>
  <c r="H692" i="22"/>
  <c r="B692" i="22"/>
  <c r="H691" i="22"/>
  <c r="B691" i="22"/>
  <c r="H690" i="22"/>
  <c r="B690" i="22"/>
  <c r="H689" i="22"/>
  <c r="B689" i="22"/>
  <c r="H688" i="22"/>
  <c r="B688" i="22"/>
  <c r="H687" i="22"/>
  <c r="B687" i="22"/>
  <c r="H686" i="22"/>
  <c r="B686" i="22"/>
  <c r="H685" i="22"/>
  <c r="B685" i="22"/>
  <c r="H684" i="22"/>
  <c r="B684" i="22"/>
  <c r="H683" i="22"/>
  <c r="B683" i="22"/>
  <c r="H682" i="22"/>
  <c r="B682" i="22"/>
  <c r="H681" i="22"/>
  <c r="B681" i="22"/>
  <c r="H680" i="22"/>
  <c r="B680" i="22"/>
  <c r="H679" i="22"/>
  <c r="B679" i="22"/>
  <c r="H678" i="22"/>
  <c r="B678" i="22"/>
  <c r="H677" i="22"/>
  <c r="B677" i="22"/>
  <c r="H676" i="22"/>
  <c r="B676" i="22"/>
  <c r="H675" i="22"/>
  <c r="B675" i="22"/>
  <c r="H674" i="22"/>
  <c r="B674" i="22"/>
  <c r="H673" i="22"/>
  <c r="B673" i="22"/>
  <c r="H672" i="22"/>
  <c r="B672" i="22"/>
  <c r="H671" i="22"/>
  <c r="B671" i="22"/>
  <c r="H670" i="22"/>
  <c r="B670" i="22"/>
  <c r="H669" i="22"/>
  <c r="B669" i="22"/>
  <c r="H668" i="22"/>
  <c r="B668" i="22"/>
  <c r="H667" i="22"/>
  <c r="B667" i="22"/>
  <c r="H666" i="22"/>
  <c r="B666" i="22"/>
  <c r="H665" i="22"/>
  <c r="B665" i="22"/>
  <c r="H664" i="22"/>
  <c r="B664" i="22"/>
  <c r="H663" i="22"/>
  <c r="B663" i="22"/>
  <c r="H662" i="22"/>
  <c r="B662" i="22"/>
  <c r="H661" i="22"/>
  <c r="B661" i="22"/>
  <c r="H660" i="22"/>
  <c r="B660" i="22"/>
  <c r="H659" i="22"/>
  <c r="B659" i="22"/>
  <c r="H658" i="22"/>
  <c r="B658" i="22"/>
  <c r="H657" i="22"/>
  <c r="B657" i="22"/>
  <c r="H656" i="22"/>
  <c r="B656" i="22"/>
  <c r="H655" i="22"/>
  <c r="B655" i="22"/>
  <c r="H654" i="22"/>
  <c r="B654" i="22"/>
  <c r="H653" i="22"/>
  <c r="B653" i="22"/>
  <c r="H652" i="22"/>
  <c r="B652" i="22"/>
  <c r="H651" i="22"/>
  <c r="B651" i="22"/>
  <c r="H650" i="22"/>
  <c r="B650" i="22"/>
  <c r="H649" i="22"/>
  <c r="B649" i="22"/>
  <c r="H648" i="22"/>
  <c r="B648" i="22"/>
  <c r="H647" i="22"/>
  <c r="B647" i="22"/>
  <c r="H646" i="22"/>
  <c r="B646" i="22"/>
  <c r="H645" i="22"/>
  <c r="B645" i="22"/>
  <c r="H644" i="22"/>
  <c r="B644" i="22"/>
  <c r="H643" i="22"/>
  <c r="B643" i="22"/>
  <c r="H642" i="22"/>
  <c r="B642" i="22"/>
  <c r="H641" i="22"/>
  <c r="B641" i="22"/>
  <c r="H640" i="22"/>
  <c r="B640" i="22"/>
  <c r="H639" i="22"/>
  <c r="B639" i="22"/>
  <c r="H638" i="22"/>
  <c r="B638" i="22"/>
  <c r="H637" i="22"/>
  <c r="B637" i="22"/>
  <c r="H636" i="22"/>
  <c r="B636" i="22"/>
  <c r="H635" i="22"/>
  <c r="B635" i="22"/>
  <c r="H634" i="22"/>
  <c r="B634" i="22"/>
  <c r="H633" i="22"/>
  <c r="B633" i="22"/>
  <c r="H632" i="22"/>
  <c r="B632" i="22"/>
  <c r="H631" i="22"/>
  <c r="B631" i="22"/>
  <c r="H630" i="22"/>
  <c r="B630" i="22"/>
  <c r="H629" i="22"/>
  <c r="B629" i="22"/>
  <c r="H628" i="22"/>
  <c r="B628" i="22"/>
  <c r="H627" i="22"/>
  <c r="B627" i="22"/>
  <c r="H626" i="22"/>
  <c r="B626" i="22"/>
  <c r="H625" i="22"/>
  <c r="B625" i="22"/>
  <c r="H624" i="22"/>
  <c r="B624" i="22"/>
  <c r="H623" i="22"/>
  <c r="B623" i="22"/>
  <c r="H622" i="22"/>
  <c r="B622" i="22"/>
  <c r="H621" i="22"/>
  <c r="B621" i="22"/>
  <c r="H620" i="22"/>
  <c r="B620" i="22"/>
  <c r="H619" i="22"/>
  <c r="B619" i="22"/>
  <c r="H618" i="22"/>
  <c r="B618" i="22"/>
  <c r="H617" i="22"/>
  <c r="B617" i="22"/>
  <c r="H616" i="22"/>
  <c r="B616" i="22"/>
  <c r="H615" i="22"/>
  <c r="B615" i="22"/>
  <c r="H614" i="22"/>
  <c r="B614" i="22"/>
  <c r="H613" i="22"/>
  <c r="B613" i="22"/>
  <c r="H612" i="22"/>
  <c r="B612" i="22"/>
  <c r="H611" i="22"/>
  <c r="B611" i="22"/>
  <c r="H610" i="22"/>
  <c r="B610" i="22"/>
  <c r="H609" i="22"/>
  <c r="B609" i="22"/>
  <c r="H608" i="22"/>
  <c r="B608" i="22"/>
  <c r="H607" i="22"/>
  <c r="B607" i="22"/>
  <c r="H606" i="22"/>
  <c r="B606" i="22"/>
  <c r="H605" i="22"/>
  <c r="B605" i="22"/>
  <c r="H604" i="22"/>
  <c r="B604" i="22"/>
  <c r="H603" i="22"/>
  <c r="B603" i="22"/>
  <c r="H602" i="22"/>
  <c r="B602" i="22"/>
  <c r="H601" i="22"/>
  <c r="B601" i="22"/>
  <c r="H600" i="22"/>
  <c r="B600" i="22"/>
  <c r="H599" i="22"/>
  <c r="B599" i="22"/>
  <c r="H598" i="22"/>
  <c r="B598" i="22"/>
  <c r="H597" i="22"/>
  <c r="B597" i="22"/>
  <c r="H596" i="22"/>
  <c r="B596" i="22"/>
  <c r="H595" i="22"/>
  <c r="B595" i="22"/>
  <c r="H594" i="22"/>
  <c r="B594" i="22"/>
  <c r="H593" i="22"/>
  <c r="B593" i="22"/>
  <c r="H592" i="22"/>
  <c r="B592" i="22"/>
  <c r="H591" i="22"/>
  <c r="B591" i="22"/>
  <c r="H590" i="22"/>
  <c r="B590" i="22"/>
  <c r="H589" i="22"/>
  <c r="B589" i="22"/>
  <c r="H588" i="22"/>
  <c r="B588" i="22"/>
  <c r="H587" i="22"/>
  <c r="B587" i="22"/>
  <c r="H586" i="22"/>
  <c r="B586" i="22"/>
  <c r="H585" i="22"/>
  <c r="B585" i="22"/>
  <c r="H584" i="22"/>
  <c r="B584" i="22"/>
  <c r="H583" i="22"/>
  <c r="B583" i="22"/>
  <c r="H582" i="22"/>
  <c r="B582" i="22"/>
  <c r="H581" i="22"/>
  <c r="B581" i="22"/>
  <c r="H580" i="22"/>
  <c r="B580" i="22"/>
  <c r="H579" i="22"/>
  <c r="B579" i="22"/>
  <c r="H578" i="22"/>
  <c r="B578" i="22"/>
  <c r="H577" i="22"/>
  <c r="B577" i="22"/>
  <c r="H576" i="22"/>
  <c r="B576" i="22"/>
  <c r="H575" i="22"/>
  <c r="B575" i="22"/>
  <c r="H574" i="22"/>
  <c r="B574" i="22"/>
  <c r="H573" i="22"/>
  <c r="B573" i="22"/>
  <c r="H572" i="22"/>
  <c r="B572" i="22"/>
  <c r="H571" i="22"/>
  <c r="B571" i="22"/>
  <c r="H570" i="22"/>
  <c r="B570" i="22"/>
  <c r="H569" i="22"/>
  <c r="B569" i="22"/>
  <c r="H568" i="22"/>
  <c r="B568" i="22"/>
  <c r="H567" i="22"/>
  <c r="B567" i="22"/>
  <c r="H566" i="22"/>
  <c r="B566" i="22"/>
  <c r="H565" i="22"/>
  <c r="B565" i="22"/>
  <c r="H564" i="22"/>
  <c r="B564" i="22"/>
  <c r="H563" i="22"/>
  <c r="B563" i="22"/>
  <c r="H562" i="22"/>
  <c r="B562" i="22"/>
  <c r="H561" i="22"/>
  <c r="B561" i="22"/>
  <c r="H560" i="22"/>
  <c r="B560" i="22"/>
  <c r="H559" i="22"/>
  <c r="B559" i="22"/>
  <c r="H558" i="22"/>
  <c r="B558" i="22"/>
  <c r="H557" i="22"/>
  <c r="B557" i="22"/>
  <c r="H556" i="22"/>
  <c r="B556" i="22"/>
  <c r="H555" i="22"/>
  <c r="B555" i="22"/>
  <c r="H554" i="22"/>
  <c r="B554" i="22"/>
  <c r="H553" i="22"/>
  <c r="B553" i="22"/>
  <c r="H552" i="22"/>
  <c r="B552" i="22"/>
  <c r="H551" i="22"/>
  <c r="B551" i="22"/>
  <c r="H550" i="22"/>
  <c r="B550" i="22"/>
  <c r="H549" i="22"/>
  <c r="B549" i="22"/>
  <c r="H548" i="22"/>
  <c r="B548" i="22"/>
  <c r="H547" i="22"/>
  <c r="B547" i="22"/>
  <c r="H546" i="22"/>
  <c r="B546" i="22"/>
  <c r="H545" i="22"/>
  <c r="B545" i="22"/>
  <c r="H544" i="22"/>
  <c r="B544" i="22"/>
  <c r="H543" i="22"/>
  <c r="B543" i="22"/>
  <c r="H542" i="22"/>
  <c r="B542" i="22"/>
  <c r="H541" i="22"/>
  <c r="B541" i="22"/>
  <c r="H540" i="22"/>
  <c r="B540" i="22"/>
  <c r="H539" i="22"/>
  <c r="B539" i="22"/>
  <c r="H538" i="22"/>
  <c r="B538" i="22"/>
  <c r="H537" i="22"/>
  <c r="B537" i="22"/>
  <c r="H536" i="22"/>
  <c r="B536" i="22"/>
  <c r="H535" i="22"/>
  <c r="B535" i="22"/>
  <c r="H534" i="22"/>
  <c r="B534" i="22"/>
  <c r="H533" i="22"/>
  <c r="B533" i="22"/>
  <c r="H532" i="22"/>
  <c r="B532" i="22"/>
  <c r="H531" i="22"/>
  <c r="B531" i="22"/>
  <c r="H530" i="22"/>
  <c r="B530" i="22"/>
  <c r="H529" i="22"/>
  <c r="B529" i="22"/>
  <c r="H528" i="22"/>
  <c r="B528" i="22"/>
  <c r="H527" i="22"/>
  <c r="B527" i="22"/>
  <c r="H526" i="22"/>
  <c r="B526" i="22"/>
  <c r="H525" i="22"/>
  <c r="B525" i="22"/>
  <c r="H524" i="22"/>
  <c r="B524" i="22"/>
  <c r="H523" i="22"/>
  <c r="B523" i="22"/>
  <c r="H522" i="22"/>
  <c r="B522" i="22"/>
  <c r="H521" i="22"/>
  <c r="B521" i="22"/>
  <c r="H520" i="22"/>
  <c r="B520" i="22"/>
  <c r="H519" i="22"/>
  <c r="B519" i="22"/>
  <c r="H518" i="22"/>
  <c r="B518" i="22"/>
  <c r="H517" i="22"/>
  <c r="B517" i="22"/>
  <c r="H516" i="22"/>
  <c r="B516" i="22"/>
  <c r="H515" i="22"/>
  <c r="B515" i="22"/>
  <c r="H514" i="22"/>
  <c r="B514" i="22"/>
  <c r="H513" i="22"/>
  <c r="B513" i="22"/>
  <c r="H512" i="22"/>
  <c r="B512" i="22"/>
  <c r="H511" i="22"/>
  <c r="B511" i="22"/>
  <c r="H510" i="22"/>
  <c r="B510" i="22"/>
  <c r="H509" i="22"/>
  <c r="B509" i="22"/>
  <c r="H508" i="22"/>
  <c r="B508" i="22"/>
  <c r="H507" i="22"/>
  <c r="B507" i="22"/>
  <c r="H506" i="22"/>
  <c r="B506" i="22"/>
  <c r="H505" i="22"/>
  <c r="B505" i="22"/>
  <c r="H504" i="22"/>
  <c r="B504" i="22"/>
  <c r="H503" i="22"/>
  <c r="B503" i="22"/>
  <c r="H502" i="22"/>
  <c r="B502" i="22"/>
  <c r="H501" i="22"/>
  <c r="B501" i="22"/>
  <c r="H500" i="22"/>
  <c r="B500" i="22"/>
  <c r="H499" i="22"/>
  <c r="B499" i="22"/>
  <c r="H498" i="22"/>
  <c r="B498" i="22"/>
  <c r="H497" i="22"/>
  <c r="B497" i="22"/>
  <c r="H496" i="22"/>
  <c r="B496" i="22"/>
  <c r="H495" i="22"/>
  <c r="B495" i="22"/>
  <c r="H494" i="22"/>
  <c r="B494" i="22"/>
  <c r="H493" i="22"/>
  <c r="B493" i="22"/>
  <c r="H492" i="22"/>
  <c r="B492" i="22"/>
  <c r="H491" i="22"/>
  <c r="B491" i="22"/>
  <c r="H490" i="22"/>
  <c r="B490" i="22"/>
  <c r="H489" i="22"/>
  <c r="B489" i="22"/>
  <c r="H488" i="22"/>
  <c r="B488" i="22"/>
  <c r="H487" i="22"/>
  <c r="B487" i="22"/>
  <c r="H486" i="22"/>
  <c r="B486" i="22"/>
  <c r="H485" i="22"/>
  <c r="B485" i="22"/>
  <c r="H484" i="22"/>
  <c r="B484" i="22"/>
  <c r="H483" i="22"/>
  <c r="B483" i="22"/>
  <c r="H482" i="22"/>
  <c r="B482" i="22"/>
  <c r="H481" i="22"/>
  <c r="B481" i="22"/>
  <c r="H480" i="22"/>
  <c r="B480" i="22"/>
  <c r="H479" i="22"/>
  <c r="B479" i="22"/>
  <c r="H478" i="22"/>
  <c r="B478" i="22"/>
  <c r="H477" i="22"/>
  <c r="B477" i="22"/>
  <c r="H476" i="22"/>
  <c r="B476" i="22"/>
  <c r="H475" i="22"/>
  <c r="B475" i="22"/>
  <c r="H474" i="22"/>
  <c r="B474" i="22"/>
  <c r="H473" i="22"/>
  <c r="B473" i="22"/>
  <c r="H472" i="22"/>
  <c r="B472" i="22"/>
  <c r="H471" i="22"/>
  <c r="B471" i="22"/>
  <c r="H470" i="22"/>
  <c r="B470" i="22"/>
  <c r="H469" i="22"/>
  <c r="B469" i="22"/>
  <c r="H468" i="22"/>
  <c r="B468" i="22"/>
  <c r="H467" i="22"/>
  <c r="B467" i="22"/>
  <c r="H466" i="22"/>
  <c r="B466" i="22"/>
  <c r="H465" i="22"/>
  <c r="B465" i="22"/>
  <c r="H464" i="22"/>
  <c r="B464" i="22"/>
  <c r="H463" i="22"/>
  <c r="B463" i="22"/>
  <c r="H462" i="22"/>
  <c r="B462" i="22"/>
  <c r="H461" i="22"/>
  <c r="B461" i="22"/>
  <c r="H460" i="22"/>
  <c r="B460" i="22"/>
  <c r="H459" i="22"/>
  <c r="B459" i="22"/>
  <c r="H458" i="22"/>
  <c r="B458" i="22"/>
  <c r="H457" i="22"/>
  <c r="B457" i="22"/>
  <c r="H456" i="22"/>
  <c r="B456" i="22"/>
  <c r="H455" i="22"/>
  <c r="B455" i="22"/>
  <c r="H454" i="22"/>
  <c r="B454" i="22"/>
  <c r="H453" i="22"/>
  <c r="B453" i="22"/>
  <c r="H452" i="22"/>
  <c r="B452" i="22"/>
  <c r="H451" i="22"/>
  <c r="B451" i="22"/>
  <c r="H450" i="22"/>
  <c r="B450" i="22"/>
  <c r="H449" i="22"/>
  <c r="B449" i="22"/>
  <c r="H448" i="22"/>
  <c r="B448" i="22"/>
  <c r="H447" i="22"/>
  <c r="B447" i="22"/>
  <c r="H446" i="22"/>
  <c r="B446" i="22"/>
  <c r="H445" i="22"/>
  <c r="B445" i="22"/>
  <c r="H444" i="22"/>
  <c r="B444" i="22"/>
  <c r="H443" i="22"/>
  <c r="B443" i="22"/>
  <c r="H442" i="22"/>
  <c r="B442" i="22"/>
  <c r="H441" i="22"/>
  <c r="B441" i="22"/>
  <c r="H440" i="22"/>
  <c r="B440" i="22"/>
  <c r="H439" i="22"/>
  <c r="B439" i="22"/>
  <c r="H438" i="22"/>
  <c r="B438" i="22"/>
  <c r="H437" i="22"/>
  <c r="B437" i="22"/>
  <c r="H436" i="22"/>
  <c r="B436" i="22"/>
  <c r="H435" i="22"/>
  <c r="B435" i="22"/>
  <c r="H434" i="22"/>
  <c r="B434" i="22"/>
  <c r="H433" i="22"/>
  <c r="B433" i="22"/>
  <c r="H432" i="22"/>
  <c r="B432" i="22"/>
  <c r="H431" i="22"/>
  <c r="B431" i="22"/>
  <c r="H430" i="22"/>
  <c r="B430" i="22"/>
  <c r="H429" i="22"/>
  <c r="B429" i="22"/>
  <c r="H428" i="22"/>
  <c r="B428" i="22"/>
  <c r="H427" i="22"/>
  <c r="B427" i="22"/>
  <c r="H426" i="22"/>
  <c r="B426" i="22"/>
  <c r="H425" i="22"/>
  <c r="B425" i="22"/>
  <c r="H424" i="22"/>
  <c r="B424" i="22"/>
  <c r="H423" i="22"/>
  <c r="B423" i="22"/>
  <c r="H422" i="22"/>
  <c r="B422" i="22"/>
  <c r="H421" i="22"/>
  <c r="H420" i="22"/>
  <c r="H419" i="22"/>
  <c r="H418" i="22"/>
  <c r="H417" i="22"/>
  <c r="H416" i="22"/>
  <c r="H415" i="22"/>
  <c r="H414" i="22"/>
  <c r="H413" i="22"/>
  <c r="H412" i="22"/>
  <c r="H411" i="22"/>
  <c r="H410" i="22"/>
  <c r="H409" i="22"/>
  <c r="H408" i="22"/>
  <c r="H407" i="22"/>
  <c r="H406" i="22"/>
  <c r="H405" i="22"/>
  <c r="H404" i="22"/>
  <c r="H403" i="22"/>
  <c r="H402" i="22"/>
  <c r="H401" i="22"/>
  <c r="H400" i="22"/>
  <c r="H399" i="22"/>
  <c r="H398" i="22"/>
  <c r="H397" i="22"/>
  <c r="H396" i="22"/>
  <c r="H395" i="22"/>
  <c r="H394" i="22"/>
  <c r="H393" i="22"/>
  <c r="H392" i="22"/>
  <c r="H391" i="22"/>
  <c r="H390" i="22"/>
  <c r="H389" i="22"/>
  <c r="H388" i="22"/>
  <c r="H387" i="22"/>
  <c r="H386" i="22"/>
  <c r="H385" i="22"/>
  <c r="H384" i="22"/>
  <c r="H383" i="22"/>
  <c r="H382" i="22"/>
  <c r="H381" i="22"/>
  <c r="H380" i="22"/>
  <c r="H379" i="22"/>
  <c r="H378" i="22"/>
  <c r="H377" i="22"/>
  <c r="H376" i="22"/>
  <c r="H375" i="22"/>
  <c r="H374" i="22"/>
  <c r="H373" i="22"/>
  <c r="H372" i="22"/>
  <c r="H371" i="22"/>
  <c r="H370" i="22"/>
  <c r="H369" i="22"/>
  <c r="H368" i="22"/>
  <c r="H367" i="22"/>
  <c r="H366" i="22"/>
  <c r="H365" i="22"/>
  <c r="H364" i="22"/>
  <c r="H363" i="22"/>
  <c r="H362" i="22"/>
  <c r="H361" i="22"/>
  <c r="H360" i="22"/>
  <c r="H359" i="22"/>
  <c r="H358" i="22"/>
  <c r="H357" i="22"/>
  <c r="H356" i="22"/>
  <c r="H355" i="22"/>
  <c r="B355" i="22"/>
  <c r="H354" i="22"/>
  <c r="B354" i="22"/>
  <c r="H353" i="22"/>
  <c r="B353" i="22"/>
  <c r="H352" i="22"/>
  <c r="B352" i="22"/>
  <c r="H351" i="22"/>
  <c r="B351" i="22"/>
  <c r="H350" i="22"/>
  <c r="B350" i="22"/>
  <c r="H349" i="22"/>
  <c r="B349" i="22"/>
  <c r="H348" i="22"/>
  <c r="B348" i="22"/>
  <c r="H347" i="22"/>
  <c r="B347" i="22"/>
  <c r="H346" i="22"/>
  <c r="B346" i="22"/>
  <c r="H345" i="22"/>
  <c r="B345" i="22"/>
  <c r="H344" i="22"/>
  <c r="B344" i="22"/>
  <c r="H343" i="22"/>
  <c r="B343" i="22"/>
  <c r="H342" i="22"/>
  <c r="B342" i="22"/>
  <c r="H341" i="22"/>
  <c r="B341" i="22"/>
  <c r="H340" i="22"/>
  <c r="B340" i="22"/>
  <c r="H339" i="22"/>
  <c r="B339" i="22"/>
  <c r="H338" i="22"/>
  <c r="B338" i="22"/>
  <c r="H337" i="22"/>
  <c r="B337" i="22"/>
  <c r="H336" i="22"/>
  <c r="B336" i="22"/>
  <c r="H335" i="22"/>
  <c r="B335" i="22"/>
  <c r="H334" i="22"/>
  <c r="B334" i="22"/>
  <c r="H333" i="22"/>
  <c r="B333" i="22"/>
  <c r="H332" i="22"/>
  <c r="B332" i="22"/>
  <c r="H331" i="22"/>
  <c r="B331" i="22"/>
  <c r="H330" i="22"/>
  <c r="B330" i="22"/>
  <c r="H329" i="22"/>
  <c r="B329" i="22"/>
  <c r="H328" i="22"/>
  <c r="B328" i="22"/>
  <c r="H327" i="22"/>
  <c r="B327" i="22"/>
  <c r="H326" i="22"/>
  <c r="B326" i="22"/>
  <c r="H325" i="22"/>
  <c r="B325" i="22"/>
  <c r="H324" i="22"/>
  <c r="B324" i="22"/>
  <c r="H323" i="22"/>
  <c r="B323" i="22"/>
  <c r="H322" i="22"/>
  <c r="B322" i="22"/>
  <c r="H321" i="22"/>
  <c r="B321" i="22"/>
  <c r="H320" i="22"/>
  <c r="B320" i="22"/>
  <c r="H319" i="22"/>
  <c r="B319" i="22"/>
  <c r="H318" i="22"/>
  <c r="B318" i="22"/>
  <c r="H317" i="22"/>
  <c r="B317" i="22"/>
  <c r="H316" i="22"/>
  <c r="B316" i="22"/>
  <c r="H315" i="22"/>
  <c r="B315" i="22"/>
  <c r="H314" i="22"/>
  <c r="B314" i="22"/>
  <c r="H313" i="22"/>
  <c r="B313" i="22"/>
  <c r="H312" i="22"/>
  <c r="B312" i="22"/>
  <c r="H311" i="22"/>
  <c r="B311" i="22"/>
  <c r="H310" i="22"/>
  <c r="B310" i="22"/>
  <c r="H309" i="22"/>
  <c r="B309" i="22"/>
  <c r="H308" i="22"/>
  <c r="B308" i="22"/>
  <c r="H307" i="22"/>
  <c r="B307" i="22"/>
  <c r="H306" i="22"/>
  <c r="B306" i="22"/>
  <c r="H305" i="22"/>
  <c r="B305" i="22"/>
  <c r="H304" i="22"/>
  <c r="B304" i="22"/>
  <c r="H303" i="22"/>
  <c r="B303" i="22"/>
  <c r="H302" i="22"/>
  <c r="B302" i="22"/>
  <c r="H301" i="22"/>
  <c r="B301" i="22"/>
  <c r="H300" i="22"/>
  <c r="B300" i="22"/>
  <c r="H299" i="22"/>
  <c r="B299" i="22"/>
  <c r="H298" i="22"/>
  <c r="B298" i="22"/>
  <c r="H297" i="22"/>
  <c r="B297" i="22"/>
  <c r="H296" i="22"/>
  <c r="B296" i="22"/>
  <c r="H295" i="22"/>
  <c r="B295" i="22"/>
  <c r="H294" i="22"/>
  <c r="B294" i="22"/>
  <c r="H293" i="22"/>
  <c r="B293" i="22"/>
  <c r="H292" i="22"/>
  <c r="B292" i="22"/>
  <c r="H291" i="22"/>
  <c r="H290" i="22"/>
  <c r="H289" i="22"/>
  <c r="H288" i="22"/>
  <c r="H287" i="22"/>
  <c r="H286" i="22"/>
  <c r="H285" i="22"/>
  <c r="H284" i="22"/>
  <c r="H283" i="22"/>
  <c r="H282" i="22"/>
  <c r="H281" i="22"/>
  <c r="H280" i="22"/>
  <c r="H279" i="22"/>
  <c r="H278" i="22"/>
  <c r="H277" i="22"/>
  <c r="H276" i="22"/>
  <c r="H275" i="22"/>
  <c r="H274" i="22"/>
  <c r="H273" i="22"/>
  <c r="H272" i="22"/>
  <c r="H271" i="22"/>
  <c r="H270" i="22"/>
  <c r="H269" i="22"/>
  <c r="H268" i="22"/>
  <c r="H267" i="22"/>
  <c r="H266" i="22"/>
  <c r="H265" i="22"/>
  <c r="H264" i="22"/>
  <c r="H263" i="22"/>
  <c r="H262" i="22"/>
  <c r="H261" i="22"/>
  <c r="H260" i="22"/>
  <c r="H259" i="22"/>
  <c r="H258" i="22"/>
  <c r="H257" i="22"/>
  <c r="H256" i="22"/>
  <c r="H255" i="22"/>
  <c r="H254" i="22"/>
  <c r="H253" i="22"/>
  <c r="H252" i="22"/>
  <c r="H251" i="22"/>
  <c r="H250" i="22"/>
  <c r="H249" i="22"/>
  <c r="H248" i="22"/>
  <c r="H247" i="22"/>
  <c r="H246" i="22"/>
  <c r="H245" i="22"/>
  <c r="H244" i="22"/>
  <c r="H243" i="22"/>
  <c r="H242" i="22"/>
  <c r="H241" i="22"/>
  <c r="H240" i="22"/>
  <c r="H239" i="22"/>
  <c r="H238" i="22"/>
  <c r="H237" i="22"/>
  <c r="H236" i="22"/>
  <c r="H235" i="22"/>
  <c r="H234" i="22"/>
  <c r="H233" i="22"/>
  <c r="H232" i="22"/>
  <c r="H231" i="22"/>
  <c r="H230" i="22"/>
  <c r="H229" i="22"/>
  <c r="H228" i="22"/>
  <c r="H227" i="22"/>
  <c r="H226" i="22"/>
  <c r="H225" i="22"/>
  <c r="H224" i="22"/>
  <c r="H223" i="22"/>
  <c r="H222" i="22"/>
  <c r="H221" i="22"/>
  <c r="H220" i="22"/>
  <c r="H219" i="22"/>
  <c r="H218" i="22"/>
  <c r="H217" i="22"/>
  <c r="H216" i="22"/>
  <c r="H215" i="22"/>
  <c r="H214" i="22"/>
  <c r="H213" i="22"/>
  <c r="H212" i="22"/>
  <c r="C212" i="22"/>
  <c r="B212" i="22"/>
  <c r="H211" i="22"/>
  <c r="C211" i="22"/>
  <c r="B211" i="22" s="1"/>
  <c r="H210" i="22"/>
  <c r="C210" i="22"/>
  <c r="B210" i="22"/>
  <c r="H209" i="22"/>
  <c r="C209" i="22"/>
  <c r="B209" i="22" s="1"/>
  <c r="H208" i="22"/>
  <c r="C208" i="22"/>
  <c r="B208" i="22"/>
  <c r="H207" i="22"/>
  <c r="C207" i="22"/>
  <c r="B207" i="22" s="1"/>
  <c r="H206" i="22"/>
  <c r="C206" i="22"/>
  <c r="B206" i="22"/>
  <c r="H205" i="22"/>
  <c r="C205" i="22"/>
  <c r="B205" i="22" s="1"/>
  <c r="H204" i="22"/>
  <c r="C204" i="22"/>
  <c r="B204" i="22"/>
  <c r="H203" i="22"/>
  <c r="C203" i="22"/>
  <c r="B203" i="22" s="1"/>
  <c r="H202" i="22"/>
  <c r="C202" i="22"/>
  <c r="B202" i="22"/>
  <c r="H201" i="22"/>
  <c r="C201" i="22"/>
  <c r="B201" i="22" s="1"/>
  <c r="H200" i="22"/>
  <c r="C200" i="22"/>
  <c r="B200" i="22"/>
  <c r="H199" i="22"/>
  <c r="C199" i="22"/>
  <c r="B199" i="22" s="1"/>
  <c r="H198" i="22"/>
  <c r="C198" i="22"/>
  <c r="B198" i="22"/>
  <c r="H197" i="22"/>
  <c r="C197" i="22"/>
  <c r="B197" i="22" s="1"/>
  <c r="H196" i="22"/>
  <c r="C196" i="22"/>
  <c r="B196" i="22"/>
  <c r="H195" i="22"/>
  <c r="C195" i="22"/>
  <c r="B195" i="22" s="1"/>
  <c r="H194" i="22"/>
  <c r="C194" i="22"/>
  <c r="B194" i="22"/>
  <c r="H193" i="22"/>
  <c r="C193" i="22"/>
  <c r="B193" i="22" s="1"/>
  <c r="H192" i="22"/>
  <c r="C192" i="22"/>
  <c r="B192" i="22"/>
  <c r="H191" i="22"/>
  <c r="C191" i="22"/>
  <c r="B191" i="22" s="1"/>
  <c r="H190" i="22"/>
  <c r="C190" i="22"/>
  <c r="B190" i="22"/>
  <c r="H189" i="22"/>
  <c r="C189" i="22"/>
  <c r="B189" i="22" s="1"/>
  <c r="H188" i="22"/>
  <c r="C188" i="22"/>
  <c r="B188" i="22"/>
  <c r="H187" i="22"/>
  <c r="C187" i="22"/>
  <c r="B187" i="22" s="1"/>
  <c r="H186" i="22"/>
  <c r="C186" i="22"/>
  <c r="B186" i="22"/>
  <c r="H185" i="22"/>
  <c r="C185" i="22"/>
  <c r="B185" i="22" s="1"/>
  <c r="H184" i="22"/>
  <c r="C184" i="22"/>
  <c r="B184" i="22"/>
  <c r="H183" i="22"/>
  <c r="C183" i="22"/>
  <c r="B183" i="22" s="1"/>
  <c r="H182" i="22"/>
  <c r="C182" i="22"/>
  <c r="B182" i="22"/>
  <c r="H181" i="22"/>
  <c r="C181" i="22"/>
  <c r="B181" i="22" s="1"/>
  <c r="H180" i="22"/>
  <c r="C180" i="22"/>
  <c r="B180" i="22"/>
  <c r="H179" i="22"/>
  <c r="C179" i="22"/>
  <c r="B179" i="22" s="1"/>
  <c r="H178" i="22"/>
  <c r="C178" i="22"/>
  <c r="B178" i="22"/>
  <c r="H177" i="22"/>
  <c r="C177" i="22"/>
  <c r="B177" i="22" s="1"/>
  <c r="H176" i="22"/>
  <c r="C176" i="22"/>
  <c r="B176" i="22"/>
  <c r="H175" i="22"/>
  <c r="C175" i="22"/>
  <c r="B175" i="22" s="1"/>
  <c r="H174" i="22"/>
  <c r="C174" i="22"/>
  <c r="B174" i="22"/>
  <c r="H173" i="22"/>
  <c r="C173" i="22"/>
  <c r="B173" i="22" s="1"/>
  <c r="H172" i="22"/>
  <c r="C172" i="22"/>
  <c r="B172" i="22"/>
  <c r="H171" i="22"/>
  <c r="C171" i="22"/>
  <c r="B171" i="22" s="1"/>
  <c r="H170" i="22"/>
  <c r="C170" i="22"/>
  <c r="B170" i="22"/>
  <c r="H169" i="22"/>
  <c r="C169" i="22"/>
  <c r="B169" i="22" s="1"/>
  <c r="H168" i="22"/>
  <c r="C168" i="22"/>
  <c r="B168" i="22"/>
  <c r="H167" i="22"/>
  <c r="C167" i="22"/>
  <c r="B167" i="22" s="1"/>
  <c r="H166" i="22"/>
  <c r="C166" i="22"/>
  <c r="B166" i="22"/>
  <c r="H165" i="22"/>
  <c r="C165" i="22"/>
  <c r="B165" i="22" s="1"/>
  <c r="H164" i="22"/>
  <c r="B164" i="22"/>
  <c r="H163" i="22"/>
  <c r="B163" i="22"/>
  <c r="H162" i="22"/>
  <c r="B162" i="22"/>
  <c r="H161" i="22"/>
  <c r="B161" i="22"/>
  <c r="H160" i="22"/>
  <c r="B160" i="22"/>
  <c r="H159" i="22"/>
  <c r="B159" i="22"/>
  <c r="H158" i="22"/>
  <c r="B158" i="22"/>
  <c r="H157" i="22"/>
  <c r="B157" i="22"/>
  <c r="H156" i="22"/>
  <c r="B156" i="22"/>
  <c r="H155" i="22"/>
  <c r="B155" i="22"/>
  <c r="H154" i="22"/>
  <c r="B154" i="22"/>
  <c r="H153" i="22"/>
  <c r="B153" i="22"/>
  <c r="H152" i="22"/>
  <c r="B152" i="22"/>
  <c r="H151" i="22"/>
  <c r="B151" i="22"/>
  <c r="H150" i="22"/>
  <c r="B150" i="22"/>
  <c r="H149" i="22"/>
  <c r="B149" i="22"/>
  <c r="H148" i="22"/>
  <c r="B148" i="22"/>
  <c r="H147" i="22"/>
  <c r="B147" i="22"/>
  <c r="H146" i="22"/>
  <c r="B146" i="22"/>
  <c r="H145" i="22"/>
  <c r="B145" i="22"/>
  <c r="H144" i="22"/>
  <c r="B144" i="22"/>
  <c r="H143" i="22"/>
  <c r="B143" i="22"/>
  <c r="H142" i="22"/>
  <c r="B142" i="22"/>
  <c r="H141" i="22"/>
  <c r="B141" i="22"/>
  <c r="H140" i="22"/>
  <c r="B140" i="22"/>
  <c r="H139" i="22"/>
  <c r="B139" i="22"/>
  <c r="H138" i="22"/>
  <c r="B138" i="22"/>
  <c r="H137" i="22"/>
  <c r="B137" i="22"/>
  <c r="H136" i="22"/>
  <c r="B136" i="22"/>
  <c r="H135" i="22"/>
  <c r="B135" i="22"/>
  <c r="H134" i="22"/>
  <c r="B134" i="22"/>
  <c r="H133" i="22"/>
  <c r="B133" i="22"/>
  <c r="H132" i="22"/>
  <c r="B132" i="22"/>
  <c r="H131" i="22"/>
  <c r="B131" i="22"/>
  <c r="H130" i="22"/>
  <c r="B130" i="22"/>
  <c r="H129" i="22"/>
  <c r="B129" i="22"/>
  <c r="H128" i="22"/>
  <c r="B128" i="22"/>
  <c r="H127" i="22"/>
  <c r="B127" i="22"/>
  <c r="H126" i="22"/>
  <c r="B126" i="22"/>
  <c r="H125" i="22"/>
  <c r="B125" i="22"/>
  <c r="H124" i="22"/>
  <c r="B124" i="22"/>
  <c r="H123" i="22"/>
  <c r="B123" i="22"/>
  <c r="H122" i="22"/>
  <c r="B122" i="22"/>
  <c r="H121" i="22"/>
  <c r="B121" i="22"/>
  <c r="H120" i="22"/>
  <c r="B120" i="22"/>
  <c r="H119" i="22"/>
  <c r="B119" i="22"/>
  <c r="H118" i="22"/>
  <c r="B118" i="22"/>
  <c r="H117" i="22"/>
  <c r="B117" i="22"/>
  <c r="H116" i="22"/>
  <c r="B116" i="22"/>
  <c r="H115" i="22"/>
  <c r="B115" i="22"/>
  <c r="H114" i="22"/>
  <c r="B114" i="22"/>
  <c r="H113" i="22"/>
  <c r="B113" i="22"/>
  <c r="H112" i="22"/>
  <c r="B112" i="22"/>
  <c r="H111" i="22"/>
  <c r="B111" i="22"/>
  <c r="H110" i="22"/>
  <c r="B110" i="22"/>
  <c r="H109" i="22"/>
  <c r="B109" i="22"/>
  <c r="H108" i="22"/>
  <c r="B108" i="22"/>
  <c r="H107" i="22"/>
  <c r="B107" i="22"/>
  <c r="H106" i="22"/>
  <c r="B106" i="22"/>
  <c r="H105" i="22"/>
  <c r="B105" i="22"/>
  <c r="H104" i="22"/>
  <c r="B104" i="22"/>
  <c r="H103" i="22"/>
  <c r="B103" i="22"/>
  <c r="H102" i="22"/>
  <c r="B102" i="22"/>
  <c r="H101" i="22"/>
  <c r="B101" i="22"/>
  <c r="H100" i="22"/>
  <c r="B100" i="22"/>
  <c r="H99" i="22"/>
  <c r="B99" i="22"/>
  <c r="H98" i="22"/>
  <c r="B98" i="22"/>
  <c r="H97" i="22"/>
  <c r="B97" i="22"/>
  <c r="H96" i="22"/>
  <c r="B96" i="22"/>
  <c r="H95" i="22"/>
  <c r="B95" i="22"/>
  <c r="H94" i="22"/>
  <c r="B94" i="22"/>
  <c r="H93" i="22"/>
  <c r="B93" i="22"/>
  <c r="H92" i="22"/>
  <c r="B92" i="22"/>
  <c r="H91" i="22"/>
  <c r="B91" i="22"/>
  <c r="H90" i="22"/>
  <c r="B90" i="22"/>
  <c r="H89" i="22"/>
  <c r="B89" i="22"/>
  <c r="H88" i="22"/>
  <c r="B88" i="22"/>
  <c r="H87" i="22"/>
  <c r="B87" i="22"/>
  <c r="H86" i="22"/>
  <c r="B86" i="22"/>
  <c r="H85" i="22"/>
  <c r="B85" i="22"/>
  <c r="H84" i="22"/>
  <c r="B84" i="22"/>
  <c r="H83" i="22"/>
  <c r="B83" i="22"/>
  <c r="H82" i="22"/>
  <c r="B82" i="22"/>
  <c r="H81" i="22"/>
  <c r="B81" i="22"/>
  <c r="H80" i="22"/>
  <c r="B80" i="22"/>
  <c r="H79" i="22"/>
  <c r="B79" i="22"/>
  <c r="H78" i="22"/>
  <c r="B78" i="22"/>
  <c r="H77" i="22"/>
  <c r="B77" i="22"/>
  <c r="H76" i="22"/>
  <c r="B76" i="22"/>
  <c r="H75" i="22"/>
  <c r="B75" i="22"/>
  <c r="H74" i="22"/>
  <c r="B74" i="22"/>
  <c r="H73" i="22"/>
  <c r="B73" i="22"/>
  <c r="H72" i="22"/>
  <c r="B72" i="22"/>
  <c r="H71" i="22"/>
  <c r="B71" i="22"/>
  <c r="H70" i="22"/>
  <c r="B70" i="22"/>
  <c r="H69" i="22"/>
  <c r="B69" i="22"/>
  <c r="H68" i="22"/>
  <c r="B68" i="22"/>
  <c r="H67" i="22"/>
  <c r="B67" i="22"/>
  <c r="H66" i="22"/>
  <c r="B66" i="22"/>
  <c r="H65" i="22"/>
  <c r="B65" i="22"/>
  <c r="H64" i="22"/>
  <c r="B64" i="22"/>
  <c r="H63" i="22"/>
  <c r="B63" i="22"/>
  <c r="H62" i="22"/>
  <c r="B62" i="22"/>
  <c r="H61" i="22"/>
  <c r="B61" i="22"/>
  <c r="H60" i="22"/>
  <c r="B60" i="22"/>
  <c r="H59" i="22"/>
  <c r="B59" i="22"/>
  <c r="H58" i="22"/>
  <c r="B58" i="22"/>
  <c r="H57" i="22"/>
  <c r="B57" i="22"/>
  <c r="H56" i="22"/>
  <c r="B56" i="22"/>
  <c r="H55" i="22"/>
  <c r="B55" i="22"/>
  <c r="H54" i="22"/>
  <c r="B54" i="22"/>
  <c r="H53" i="22"/>
  <c r="B53" i="22"/>
  <c r="H52" i="22"/>
  <c r="B52" i="22"/>
  <c r="H51" i="22"/>
  <c r="B51" i="22"/>
  <c r="H50" i="22"/>
  <c r="B50" i="22"/>
  <c r="H49" i="22"/>
  <c r="B49" i="22"/>
  <c r="H48" i="22"/>
  <c r="B48" i="22"/>
  <c r="H47" i="22"/>
  <c r="B47" i="22"/>
  <c r="H46" i="22"/>
  <c r="B46" i="22"/>
  <c r="H45" i="22"/>
  <c r="B45" i="22"/>
  <c r="H44" i="22"/>
  <c r="B44" i="22"/>
  <c r="H43" i="22"/>
  <c r="B43" i="22"/>
  <c r="H42" i="22"/>
  <c r="B42" i="22"/>
  <c r="H41" i="22"/>
  <c r="B41" i="22"/>
  <c r="H40" i="22"/>
  <c r="B40" i="22"/>
  <c r="H39" i="22"/>
  <c r="B39" i="22"/>
  <c r="H38" i="22"/>
  <c r="B38" i="22"/>
  <c r="H37" i="22"/>
  <c r="B37" i="22"/>
  <c r="H36" i="22"/>
  <c r="B36" i="22"/>
  <c r="H35" i="22"/>
  <c r="B35" i="22"/>
  <c r="H34" i="22"/>
  <c r="B34" i="22"/>
  <c r="H33" i="22"/>
  <c r="B33" i="22"/>
  <c r="H32" i="22"/>
  <c r="B32" i="22"/>
  <c r="H31" i="22"/>
  <c r="B31" i="22"/>
  <c r="H30" i="22"/>
  <c r="B30" i="22"/>
  <c r="H29" i="22"/>
  <c r="B29" i="22"/>
  <c r="H28" i="22"/>
  <c r="B28" i="22"/>
  <c r="H27" i="22"/>
  <c r="B27" i="22"/>
  <c r="H26" i="22"/>
  <c r="B26" i="22"/>
  <c r="H25" i="22"/>
  <c r="B25" i="22"/>
  <c r="H24" i="22"/>
  <c r="B24" i="22"/>
  <c r="H23" i="22"/>
  <c r="B23" i="22"/>
  <c r="H22" i="22"/>
  <c r="B22" i="22"/>
  <c r="H21" i="22"/>
  <c r="B21" i="22"/>
  <c r="H20" i="22"/>
  <c r="B20" i="22"/>
  <c r="H19" i="22"/>
  <c r="B19" i="22"/>
  <c r="H18" i="22"/>
  <c r="C18" i="22"/>
  <c r="B18" i="22" s="1"/>
  <c r="H17" i="22"/>
  <c r="C17" i="22"/>
  <c r="B17" i="22" s="1"/>
  <c r="H16" i="22"/>
  <c r="C16" i="22"/>
  <c r="B16" i="22"/>
  <c r="H15" i="22"/>
  <c r="C15" i="22"/>
  <c r="B15" i="22"/>
  <c r="H14" i="22"/>
  <c r="B14" i="22"/>
  <c r="H13" i="22"/>
  <c r="B13" i="22"/>
  <c r="H12" i="22"/>
  <c r="B12" i="22"/>
  <c r="H11" i="22"/>
  <c r="B11" i="22"/>
  <c r="H10" i="22"/>
  <c r="C10" i="22"/>
  <c r="B10" i="22" s="1"/>
  <c r="H9" i="22"/>
  <c r="C9" i="22"/>
  <c r="B9" i="22" s="1"/>
  <c r="H8" i="22"/>
  <c r="C8" i="22"/>
  <c r="B8" i="22"/>
  <c r="H7" i="22"/>
  <c r="C7" i="22"/>
  <c r="B7" i="22"/>
  <c r="H6" i="22"/>
  <c r="C6" i="22"/>
  <c r="B6" i="22" s="1"/>
  <c r="H5" i="22"/>
  <c r="C5" i="22"/>
  <c r="B5" i="22" s="1"/>
  <c r="H4" i="22"/>
  <c r="C4" i="22"/>
  <c r="B4" i="22"/>
  <c r="H3" i="22"/>
  <c r="C3" i="22"/>
  <c r="B3" i="22"/>
  <c r="AN32" i="21" l="1"/>
  <c r="R35" i="26" s="1"/>
  <c r="M8" i="25"/>
  <c r="AW45" i="21" s="1"/>
  <c r="AW47" i="21" s="1"/>
  <c r="AS7" i="21"/>
  <c r="AS8" i="21"/>
  <c r="AS9" i="21"/>
  <c r="AS10" i="21"/>
  <c r="AS11" i="21"/>
  <c r="M5" i="25"/>
  <c r="AW44" i="21" s="1"/>
  <c r="AW46" i="21" s="1"/>
  <c r="AS15" i="21" l="1"/>
  <c r="BG24" i="21"/>
  <c r="V25" i="21" s="1"/>
  <c r="AC20" i="26" s="1"/>
  <c r="H5" i="25"/>
  <c r="A4" i="25"/>
  <c r="J5" i="25" l="1"/>
  <c r="E4" i="25"/>
  <c r="L1" i="22" l="1"/>
  <c r="V9" i="22"/>
  <c r="U9" i="22"/>
  <c r="V8" i="22"/>
  <c r="U8" i="22"/>
  <c r="V7" i="22"/>
  <c r="U7" i="22"/>
  <c r="V6" i="22"/>
  <c r="U6" i="22"/>
  <c r="V5" i="22"/>
  <c r="U5" i="22"/>
  <c r="V4" i="22"/>
  <c r="U4" i="22"/>
  <c r="G1" i="22" l="1"/>
  <c r="G1617" i="22" l="1"/>
  <c r="I1617" i="22" s="1"/>
  <c r="G1613" i="22"/>
  <c r="I1613" i="22" s="1"/>
  <c r="G1609" i="22"/>
  <c r="I1609" i="22" s="1"/>
  <c r="G1605" i="22"/>
  <c r="I1605" i="22" s="1"/>
  <c r="G1601" i="22"/>
  <c r="I1601" i="22" s="1"/>
  <c r="G1597" i="22"/>
  <c r="I1597" i="22" s="1"/>
  <c r="G1593" i="22"/>
  <c r="I1593" i="22" s="1"/>
  <c r="G1589" i="22"/>
  <c r="I1589" i="22" s="1"/>
  <c r="G1585" i="22"/>
  <c r="I1585" i="22" s="1"/>
  <c r="G1581" i="22"/>
  <c r="I1581" i="22" s="1"/>
  <c r="G1577" i="22"/>
  <c r="I1577" i="22" s="1"/>
  <c r="G1573" i="22"/>
  <c r="I1573" i="22" s="1"/>
  <c r="G1569" i="22"/>
  <c r="I1569" i="22" s="1"/>
  <c r="G1565" i="22"/>
  <c r="I1565" i="22" s="1"/>
  <c r="G1561" i="22"/>
  <c r="I1561" i="22" s="1"/>
  <c r="G1557" i="22"/>
  <c r="I1557" i="22" s="1"/>
  <c r="G1553" i="22"/>
  <c r="I1553" i="22" s="1"/>
  <c r="G1549" i="22"/>
  <c r="I1549" i="22" s="1"/>
  <c r="G1545" i="22"/>
  <c r="I1545" i="22" s="1"/>
  <c r="G1541" i="22"/>
  <c r="I1541" i="22" s="1"/>
  <c r="G1537" i="22"/>
  <c r="I1537" i="22" s="1"/>
  <c r="G1522" i="22"/>
  <c r="I1522" i="22" s="1"/>
  <c r="G1518" i="22"/>
  <c r="I1518" i="22" s="1"/>
  <c r="G1514" i="22"/>
  <c r="I1514" i="22" s="1"/>
  <c r="G1510" i="22"/>
  <c r="I1510" i="22" s="1"/>
  <c r="G1506" i="22"/>
  <c r="I1506" i="22" s="1"/>
  <c r="G1502" i="22"/>
  <c r="I1502" i="22" s="1"/>
  <c r="G1498" i="22"/>
  <c r="I1498" i="22" s="1"/>
  <c r="G1620" i="22"/>
  <c r="I1620" i="22" s="1"/>
  <c r="G1677" i="22"/>
  <c r="I1677" i="22" s="1"/>
  <c r="G1676" i="22"/>
  <c r="I1676" i="22" s="1"/>
  <c r="G1675" i="22"/>
  <c r="I1675" i="22" s="1"/>
  <c r="G1674" i="22"/>
  <c r="I1674" i="22" s="1"/>
  <c r="G1673" i="22"/>
  <c r="I1673" i="22" s="1"/>
  <c r="G1672" i="22"/>
  <c r="I1672" i="22" s="1"/>
  <c r="G1671" i="22"/>
  <c r="I1671" i="22" s="1"/>
  <c r="G1670" i="22"/>
  <c r="I1670" i="22" s="1"/>
  <c r="G1669" i="22"/>
  <c r="I1669" i="22" s="1"/>
  <c r="G1668" i="22"/>
  <c r="I1668" i="22" s="1"/>
  <c r="G1667" i="22"/>
  <c r="I1667" i="22" s="1"/>
  <c r="G1666" i="22"/>
  <c r="I1666" i="22" s="1"/>
  <c r="G1665" i="22"/>
  <c r="I1665" i="22" s="1"/>
  <c r="G1664" i="22"/>
  <c r="I1664" i="22" s="1"/>
  <c r="G1663" i="22"/>
  <c r="I1663" i="22" s="1"/>
  <c r="G1662" i="22"/>
  <c r="I1662" i="22" s="1"/>
  <c r="G1661" i="22"/>
  <c r="I1661" i="22" s="1"/>
  <c r="G1660" i="22"/>
  <c r="I1660" i="22" s="1"/>
  <c r="G1659" i="22"/>
  <c r="I1659" i="22" s="1"/>
  <c r="G1658" i="22"/>
  <c r="I1658" i="22" s="1"/>
  <c r="G1657" i="22"/>
  <c r="I1657" i="22" s="1"/>
  <c r="G1656" i="22"/>
  <c r="I1656" i="22" s="1"/>
  <c r="G1655" i="22"/>
  <c r="I1655" i="22" s="1"/>
  <c r="G1654" i="22"/>
  <c r="I1654" i="22" s="1"/>
  <c r="G1653" i="22"/>
  <c r="I1653" i="22" s="1"/>
  <c r="G1652" i="22"/>
  <c r="I1652" i="22" s="1"/>
  <c r="G1651" i="22"/>
  <c r="I1651" i="22" s="1"/>
  <c r="G1650" i="22"/>
  <c r="I1650" i="22" s="1"/>
  <c r="G1649" i="22"/>
  <c r="I1649" i="22" s="1"/>
  <c r="G1648" i="22"/>
  <c r="I1648" i="22" s="1"/>
  <c r="G1647" i="22"/>
  <c r="I1647" i="22" s="1"/>
  <c r="G1646" i="22"/>
  <c r="I1646" i="22" s="1"/>
  <c r="G1645" i="22"/>
  <c r="I1645" i="22" s="1"/>
  <c r="G1644" i="22"/>
  <c r="I1644" i="22" s="1"/>
  <c r="G1643" i="22"/>
  <c r="I1643" i="22" s="1"/>
  <c r="G1642" i="22"/>
  <c r="I1642" i="22" s="1"/>
  <c r="G1641" i="22"/>
  <c r="I1641" i="22" s="1"/>
  <c r="G1640" i="22"/>
  <c r="I1640" i="22" s="1"/>
  <c r="G1639" i="22"/>
  <c r="I1639" i="22" s="1"/>
  <c r="G1638" i="22"/>
  <c r="I1638" i="22" s="1"/>
  <c r="G1637" i="22"/>
  <c r="I1637" i="22" s="1"/>
  <c r="G1636" i="22"/>
  <c r="I1636" i="22" s="1"/>
  <c r="G1635" i="22"/>
  <c r="I1635" i="22" s="1"/>
  <c r="G1634" i="22"/>
  <c r="I1634" i="22" s="1"/>
  <c r="G1633" i="22"/>
  <c r="I1633" i="22" s="1"/>
  <c r="G1632" i="22"/>
  <c r="I1632" i="22" s="1"/>
  <c r="G1631" i="22"/>
  <c r="I1631" i="22" s="1"/>
  <c r="G1630" i="22"/>
  <c r="I1630" i="22" s="1"/>
  <c r="G1629" i="22"/>
  <c r="I1629" i="22" s="1"/>
  <c r="G1628" i="22"/>
  <c r="I1628" i="22" s="1"/>
  <c r="G1627" i="22"/>
  <c r="I1627" i="22" s="1"/>
  <c r="G1626" i="22"/>
  <c r="I1626" i="22" s="1"/>
  <c r="G1625" i="22"/>
  <c r="I1625" i="22" s="1"/>
  <c r="G1624" i="22"/>
  <c r="I1624" i="22" s="1"/>
  <c r="G1623" i="22"/>
  <c r="I1623" i="22" s="1"/>
  <c r="G1622" i="22"/>
  <c r="I1622" i="22" s="1"/>
  <c r="G1621" i="22"/>
  <c r="I1621" i="22" s="1"/>
  <c r="G1615" i="22"/>
  <c r="I1615" i="22" s="1"/>
  <c r="G1611" i="22"/>
  <c r="I1611" i="22" s="1"/>
  <c r="G1607" i="22"/>
  <c r="I1607" i="22" s="1"/>
  <c r="G1603" i="22"/>
  <c r="I1603" i="22" s="1"/>
  <c r="G1599" i="22"/>
  <c r="I1599" i="22" s="1"/>
  <c r="G1595" i="22"/>
  <c r="I1595" i="22" s="1"/>
  <c r="G1591" i="22"/>
  <c r="I1591" i="22" s="1"/>
  <c r="G1587" i="22"/>
  <c r="I1587" i="22" s="1"/>
  <c r="G1583" i="22"/>
  <c r="I1583" i="22" s="1"/>
  <c r="G1579" i="22"/>
  <c r="I1579" i="22" s="1"/>
  <c r="G1575" i="22"/>
  <c r="I1575" i="22" s="1"/>
  <c r="G1571" i="22"/>
  <c r="I1571" i="22" s="1"/>
  <c r="G1567" i="22"/>
  <c r="I1567" i="22" s="1"/>
  <c r="G1563" i="22"/>
  <c r="I1563" i="22" s="1"/>
  <c r="G1559" i="22"/>
  <c r="I1559" i="22" s="1"/>
  <c r="G1555" i="22"/>
  <c r="I1555" i="22" s="1"/>
  <c r="G1551" i="22"/>
  <c r="I1551" i="22" s="1"/>
  <c r="G1547" i="22"/>
  <c r="I1547" i="22" s="1"/>
  <c r="G1543" i="22"/>
  <c r="I1543" i="22" s="1"/>
  <c r="G1539" i="22"/>
  <c r="I1539" i="22" s="1"/>
  <c r="G1535" i="22"/>
  <c r="I1535" i="22" s="1"/>
  <c r="G1520" i="22"/>
  <c r="I1520" i="22" s="1"/>
  <c r="G1516" i="22"/>
  <c r="I1516" i="22" s="1"/>
  <c r="G1512" i="22"/>
  <c r="I1512" i="22" s="1"/>
  <c r="G1508" i="22"/>
  <c r="I1508" i="22" s="1"/>
  <c r="G1504" i="22"/>
  <c r="I1504" i="22" s="1"/>
  <c r="G1500" i="22"/>
  <c r="I1500" i="22" s="1"/>
  <c r="G1496" i="22"/>
  <c r="I1496" i="22" s="1"/>
  <c r="G1612" i="22"/>
  <c r="I1612" i="22" s="1"/>
  <c r="G1604" i="22"/>
  <c r="I1604" i="22" s="1"/>
  <c r="G1596" i="22"/>
  <c r="I1596" i="22" s="1"/>
  <c r="G1588" i="22"/>
  <c r="I1588" i="22" s="1"/>
  <c r="G1580" i="22"/>
  <c r="I1580" i="22" s="1"/>
  <c r="G1572" i="22"/>
  <c r="I1572" i="22" s="1"/>
  <c r="G1564" i="22"/>
  <c r="I1564" i="22" s="1"/>
  <c r="G1556" i="22"/>
  <c r="I1556" i="22" s="1"/>
  <c r="G1548" i="22"/>
  <c r="I1548" i="22" s="1"/>
  <c r="G1540" i="22"/>
  <c r="I1540" i="22" s="1"/>
  <c r="G1521" i="22"/>
  <c r="I1521" i="22" s="1"/>
  <c r="G1513" i="22"/>
  <c r="I1513" i="22" s="1"/>
  <c r="G1505" i="22"/>
  <c r="I1505" i="22" s="1"/>
  <c r="G1497" i="22"/>
  <c r="I1497" i="22" s="1"/>
  <c r="G1494" i="22"/>
  <c r="I1494" i="22" s="1"/>
  <c r="G1490" i="22"/>
  <c r="I1490" i="22" s="1"/>
  <c r="G1486" i="22"/>
  <c r="I1486" i="22" s="1"/>
  <c r="G1482" i="22"/>
  <c r="I1482" i="22" s="1"/>
  <c r="G1478" i="22"/>
  <c r="I1478" i="22" s="1"/>
  <c r="G1474" i="22"/>
  <c r="I1474" i="22" s="1"/>
  <c r="G1470" i="22"/>
  <c r="I1470" i="22" s="1"/>
  <c r="G1466" i="22"/>
  <c r="I1466" i="22" s="1"/>
  <c r="G1462" i="22"/>
  <c r="I1462" i="22" s="1"/>
  <c r="G1458" i="22"/>
  <c r="I1458" i="22" s="1"/>
  <c r="G1454" i="22"/>
  <c r="I1454" i="22" s="1"/>
  <c r="G1450" i="22"/>
  <c r="I1450" i="22" s="1"/>
  <c r="G1446" i="22"/>
  <c r="I1446" i="22" s="1"/>
  <c r="G1442" i="22"/>
  <c r="I1442" i="22" s="1"/>
  <c r="G1438" i="22"/>
  <c r="I1438" i="22" s="1"/>
  <c r="G1434" i="22"/>
  <c r="I1434" i="22" s="1"/>
  <c r="G1430" i="22"/>
  <c r="I1430" i="22" s="1"/>
  <c r="G1426" i="22"/>
  <c r="I1426" i="22" s="1"/>
  <c r="G1422" i="22"/>
  <c r="I1422" i="22" s="1"/>
  <c r="G1418" i="22"/>
  <c r="I1418" i="22" s="1"/>
  <c r="G1414" i="22"/>
  <c r="I1414" i="22" s="1"/>
  <c r="G1410" i="22"/>
  <c r="I1410" i="22" s="1"/>
  <c r="G1406" i="22"/>
  <c r="I1406" i="22" s="1"/>
  <c r="G1402" i="22"/>
  <c r="I1402" i="22" s="1"/>
  <c r="G1398" i="22"/>
  <c r="I1398" i="22" s="1"/>
  <c r="G1394" i="22"/>
  <c r="I1394" i="22" s="1"/>
  <c r="G1390" i="22"/>
  <c r="I1390" i="22" s="1"/>
  <c r="G1386" i="22"/>
  <c r="I1386" i="22" s="1"/>
  <c r="G1382" i="22"/>
  <c r="I1382" i="22" s="1"/>
  <c r="G1378" i="22"/>
  <c r="I1378" i="22" s="1"/>
  <c r="G1374" i="22"/>
  <c r="I1374" i="22" s="1"/>
  <c r="G1370" i="22"/>
  <c r="I1370" i="22" s="1"/>
  <c r="G1366" i="22"/>
  <c r="I1366" i="22" s="1"/>
  <c r="G1362" i="22"/>
  <c r="I1362" i="22" s="1"/>
  <c r="G1358" i="22"/>
  <c r="I1358" i="22" s="1"/>
  <c r="G1354" i="22"/>
  <c r="I1354" i="22" s="1"/>
  <c r="G1350" i="22"/>
  <c r="I1350" i="22" s="1"/>
  <c r="G1346" i="22"/>
  <c r="I1346" i="22" s="1"/>
  <c r="G1342" i="22"/>
  <c r="I1342" i="22" s="1"/>
  <c r="G1338" i="22"/>
  <c r="I1338" i="22" s="1"/>
  <c r="G1334" i="22"/>
  <c r="I1334" i="22" s="1"/>
  <c r="G1330" i="22"/>
  <c r="I1330" i="22" s="1"/>
  <c r="G1326" i="22"/>
  <c r="I1326" i="22" s="1"/>
  <c r="G1322" i="22"/>
  <c r="I1322" i="22" s="1"/>
  <c r="G1318" i="22"/>
  <c r="I1318" i="22" s="1"/>
  <c r="G1314" i="22"/>
  <c r="I1314" i="22" s="1"/>
  <c r="G1310" i="22"/>
  <c r="I1310" i="22" s="1"/>
  <c r="G1306" i="22"/>
  <c r="I1306" i="22" s="1"/>
  <c r="G1302" i="22"/>
  <c r="I1302" i="22" s="1"/>
  <c r="G1298" i="22"/>
  <c r="I1298" i="22" s="1"/>
  <c r="G1294" i="22"/>
  <c r="I1294" i="22" s="1"/>
  <c r="G1290" i="22"/>
  <c r="I1290" i="22" s="1"/>
  <c r="G1286" i="22"/>
  <c r="I1286" i="22" s="1"/>
  <c r="G1282" i="22"/>
  <c r="I1282" i="22" s="1"/>
  <c r="G1278" i="22"/>
  <c r="I1278" i="22" s="1"/>
  <c r="G1274" i="22"/>
  <c r="I1274" i="22" s="1"/>
  <c r="G1270" i="22"/>
  <c r="I1270" i="22" s="1"/>
  <c r="G1616" i="22"/>
  <c r="I1616" i="22" s="1"/>
  <c r="G1608" i="22"/>
  <c r="I1608" i="22" s="1"/>
  <c r="G1600" i="22"/>
  <c r="I1600" i="22" s="1"/>
  <c r="G1592" i="22"/>
  <c r="I1592" i="22" s="1"/>
  <c r="G1584" i="22"/>
  <c r="I1584" i="22" s="1"/>
  <c r="G1576" i="22"/>
  <c r="I1576" i="22" s="1"/>
  <c r="G1568" i="22"/>
  <c r="I1568" i="22" s="1"/>
  <c r="G1560" i="22"/>
  <c r="I1560" i="22" s="1"/>
  <c r="G1552" i="22"/>
  <c r="I1552" i="22" s="1"/>
  <c r="G1544" i="22"/>
  <c r="I1544" i="22" s="1"/>
  <c r="G1536" i="22"/>
  <c r="I1536" i="22" s="1"/>
  <c r="G1517" i="22"/>
  <c r="I1517" i="22" s="1"/>
  <c r="G1509" i="22"/>
  <c r="I1509" i="22" s="1"/>
  <c r="G1501" i="22"/>
  <c r="I1501" i="22" s="1"/>
  <c r="G1492" i="22"/>
  <c r="I1492" i="22" s="1"/>
  <c r="G1488" i="22"/>
  <c r="I1488" i="22" s="1"/>
  <c r="G1484" i="22"/>
  <c r="I1484" i="22" s="1"/>
  <c r="G1480" i="22"/>
  <c r="I1480" i="22" s="1"/>
  <c r="G1476" i="22"/>
  <c r="I1476" i="22" s="1"/>
  <c r="G1472" i="22"/>
  <c r="I1472" i="22" s="1"/>
  <c r="G1468" i="22"/>
  <c r="I1468" i="22" s="1"/>
  <c r="G1464" i="22"/>
  <c r="I1464" i="22" s="1"/>
  <c r="G1460" i="22"/>
  <c r="I1460" i="22" s="1"/>
  <c r="G1456" i="22"/>
  <c r="I1456" i="22" s="1"/>
  <c r="G1452" i="22"/>
  <c r="I1452" i="22" s="1"/>
  <c r="G1448" i="22"/>
  <c r="I1448" i="22" s="1"/>
  <c r="G1444" i="22"/>
  <c r="I1444" i="22" s="1"/>
  <c r="G1440" i="22"/>
  <c r="I1440" i="22" s="1"/>
  <c r="G1436" i="22"/>
  <c r="I1436" i="22" s="1"/>
  <c r="G1432" i="22"/>
  <c r="I1432" i="22" s="1"/>
  <c r="G1428" i="22"/>
  <c r="I1428" i="22" s="1"/>
  <c r="G1424" i="22"/>
  <c r="I1424" i="22" s="1"/>
  <c r="G1420" i="22"/>
  <c r="I1420" i="22" s="1"/>
  <c r="G1416" i="22"/>
  <c r="I1416" i="22" s="1"/>
  <c r="G1412" i="22"/>
  <c r="I1412" i="22" s="1"/>
  <c r="G1408" i="22"/>
  <c r="I1408" i="22" s="1"/>
  <c r="G1404" i="22"/>
  <c r="I1404" i="22" s="1"/>
  <c r="G1400" i="22"/>
  <c r="I1400" i="22" s="1"/>
  <c r="G1396" i="22"/>
  <c r="I1396" i="22" s="1"/>
  <c r="G1392" i="22"/>
  <c r="I1392" i="22" s="1"/>
  <c r="G1388" i="22"/>
  <c r="I1388" i="22" s="1"/>
  <c r="G1384" i="22"/>
  <c r="I1384" i="22" s="1"/>
  <c r="G1380" i="22"/>
  <c r="I1380" i="22" s="1"/>
  <c r="G1376" i="22"/>
  <c r="I1376" i="22" s="1"/>
  <c r="G1372" i="22"/>
  <c r="I1372" i="22" s="1"/>
  <c r="G1368" i="22"/>
  <c r="I1368" i="22" s="1"/>
  <c r="G1364" i="22"/>
  <c r="I1364" i="22" s="1"/>
  <c r="G1360" i="22"/>
  <c r="I1360" i="22" s="1"/>
  <c r="G1356" i="22"/>
  <c r="I1356" i="22" s="1"/>
  <c r="G1352" i="22"/>
  <c r="I1352" i="22" s="1"/>
  <c r="G1348" i="22"/>
  <c r="I1348" i="22" s="1"/>
  <c r="G1344" i="22"/>
  <c r="I1344" i="22" s="1"/>
  <c r="G1340" i="22"/>
  <c r="I1340" i="22" s="1"/>
  <c r="G1336" i="22"/>
  <c r="I1336" i="22" s="1"/>
  <c r="G1332" i="22"/>
  <c r="I1332" i="22" s="1"/>
  <c r="G1328" i="22"/>
  <c r="I1328" i="22" s="1"/>
  <c r="G1324" i="22"/>
  <c r="I1324" i="22" s="1"/>
  <c r="G1320" i="22"/>
  <c r="I1320" i="22" s="1"/>
  <c r="G1316" i="22"/>
  <c r="I1316" i="22" s="1"/>
  <c r="G1312" i="22"/>
  <c r="I1312" i="22" s="1"/>
  <c r="G1308" i="22"/>
  <c r="I1308" i="22" s="1"/>
  <c r="G1304" i="22"/>
  <c r="I1304" i="22" s="1"/>
  <c r="G1300" i="22"/>
  <c r="I1300" i="22" s="1"/>
  <c r="G1296" i="22"/>
  <c r="I1296" i="22" s="1"/>
  <c r="G1292" i="22"/>
  <c r="I1292" i="22" s="1"/>
  <c r="G1288" i="22"/>
  <c r="I1288" i="22" s="1"/>
  <c r="G1284" i="22"/>
  <c r="I1284" i="22" s="1"/>
  <c r="G1280" i="22"/>
  <c r="I1280" i="22" s="1"/>
  <c r="G1276" i="22"/>
  <c r="I1276" i="22" s="1"/>
  <c r="G1272" i="22"/>
  <c r="I1272" i="22" s="1"/>
  <c r="G1268" i="22"/>
  <c r="I1268" i="22" s="1"/>
  <c r="G1267" i="22"/>
  <c r="I1267" i="22" s="1"/>
  <c r="G1266" i="22"/>
  <c r="I1266" i="22" s="1"/>
  <c r="G1265" i="22"/>
  <c r="I1265" i="22" s="1"/>
  <c r="G1264" i="22"/>
  <c r="I1264" i="22" s="1"/>
  <c r="G1263" i="22"/>
  <c r="I1263" i="22" s="1"/>
  <c r="G1262" i="22"/>
  <c r="I1262" i="22" s="1"/>
  <c r="G1261" i="22"/>
  <c r="I1261" i="22" s="1"/>
  <c r="G1260" i="22"/>
  <c r="I1260" i="22" s="1"/>
  <c r="G1259" i="22"/>
  <c r="I1259" i="22" s="1"/>
  <c r="G1258" i="22"/>
  <c r="I1258" i="22" s="1"/>
  <c r="G1257" i="22"/>
  <c r="I1257" i="22" s="1"/>
  <c r="G1256" i="22"/>
  <c r="I1256" i="22" s="1"/>
  <c r="G1255" i="22"/>
  <c r="I1255" i="22" s="1"/>
  <c r="G1254" i="22"/>
  <c r="I1254" i="22" s="1"/>
  <c r="G1606" i="22"/>
  <c r="I1606" i="22" s="1"/>
  <c r="G1590" i="22"/>
  <c r="I1590" i="22" s="1"/>
  <c r="G1574" i="22"/>
  <c r="I1574" i="22" s="1"/>
  <c r="G1558" i="22"/>
  <c r="I1558" i="22" s="1"/>
  <c r="G1542" i="22"/>
  <c r="I1542" i="22" s="1"/>
  <c r="G1515" i="22"/>
  <c r="I1515" i="22" s="1"/>
  <c r="G1499" i="22"/>
  <c r="I1499" i="22" s="1"/>
  <c r="G1489" i="22"/>
  <c r="I1489" i="22" s="1"/>
  <c r="G1481" i="22"/>
  <c r="I1481" i="22" s="1"/>
  <c r="G1473" i="22"/>
  <c r="I1473" i="22" s="1"/>
  <c r="G1465" i="22"/>
  <c r="I1465" i="22" s="1"/>
  <c r="G1457" i="22"/>
  <c r="I1457" i="22" s="1"/>
  <c r="G1449" i="22"/>
  <c r="I1449" i="22" s="1"/>
  <c r="G1441" i="22"/>
  <c r="I1441" i="22" s="1"/>
  <c r="G1433" i="22"/>
  <c r="I1433" i="22" s="1"/>
  <c r="G1425" i="22"/>
  <c r="I1425" i="22" s="1"/>
  <c r="G1417" i="22"/>
  <c r="I1417" i="22" s="1"/>
  <c r="G1409" i="22"/>
  <c r="I1409" i="22" s="1"/>
  <c r="G1401" i="22"/>
  <c r="I1401" i="22" s="1"/>
  <c r="G1393" i="22"/>
  <c r="I1393" i="22" s="1"/>
  <c r="G1385" i="22"/>
  <c r="I1385" i="22" s="1"/>
  <c r="G1377" i="22"/>
  <c r="I1377" i="22" s="1"/>
  <c r="G1369" i="22"/>
  <c r="I1369" i="22" s="1"/>
  <c r="G1361" i="22"/>
  <c r="I1361" i="22" s="1"/>
  <c r="G1353" i="22"/>
  <c r="I1353" i="22" s="1"/>
  <c r="G1345" i="22"/>
  <c r="I1345" i="22" s="1"/>
  <c r="G1337" i="22"/>
  <c r="I1337" i="22" s="1"/>
  <c r="G1329" i="22"/>
  <c r="I1329" i="22" s="1"/>
  <c r="G1321" i="22"/>
  <c r="I1321" i="22" s="1"/>
  <c r="G1313" i="22"/>
  <c r="I1313" i="22" s="1"/>
  <c r="G1305" i="22"/>
  <c r="I1305" i="22" s="1"/>
  <c r="G1297" i="22"/>
  <c r="I1297" i="22" s="1"/>
  <c r="G1289" i="22"/>
  <c r="I1289" i="22" s="1"/>
  <c r="G1281" i="22"/>
  <c r="I1281" i="22" s="1"/>
  <c r="G1273" i="22"/>
  <c r="I1273" i="22" s="1"/>
  <c r="G1253" i="22"/>
  <c r="I1253" i="22" s="1"/>
  <c r="G1252" i="22"/>
  <c r="I1252" i="22" s="1"/>
  <c r="G1251" i="22"/>
  <c r="I1251" i="22" s="1"/>
  <c r="G1250" i="22"/>
  <c r="I1250" i="22" s="1"/>
  <c r="G1249" i="22"/>
  <c r="I1249" i="22" s="1"/>
  <c r="G1248" i="22"/>
  <c r="I1248" i="22" s="1"/>
  <c r="G1247" i="22"/>
  <c r="I1247" i="22" s="1"/>
  <c r="G1246" i="22"/>
  <c r="I1246" i="22" s="1"/>
  <c r="G1245" i="22"/>
  <c r="I1245" i="22" s="1"/>
  <c r="G1244" i="22"/>
  <c r="I1244" i="22" s="1"/>
  <c r="G1243" i="22"/>
  <c r="I1243" i="22" s="1"/>
  <c r="G1242" i="22"/>
  <c r="I1242" i="22" s="1"/>
  <c r="G1241" i="22"/>
  <c r="I1241" i="22" s="1"/>
  <c r="G1240" i="22"/>
  <c r="I1240" i="22" s="1"/>
  <c r="G1239" i="22"/>
  <c r="I1239" i="22" s="1"/>
  <c r="G1238" i="22"/>
  <c r="I1238" i="22" s="1"/>
  <c r="G1237" i="22"/>
  <c r="I1237" i="22" s="1"/>
  <c r="G1236" i="22"/>
  <c r="I1236" i="22" s="1"/>
  <c r="G1235" i="22"/>
  <c r="I1235" i="22" s="1"/>
  <c r="G1234" i="22"/>
  <c r="I1234" i="22" s="1"/>
  <c r="G1233" i="22"/>
  <c r="I1233" i="22" s="1"/>
  <c r="G1232" i="22"/>
  <c r="I1232" i="22" s="1"/>
  <c r="G1231" i="22"/>
  <c r="I1231" i="22" s="1"/>
  <c r="G1230" i="22"/>
  <c r="I1230" i="22" s="1"/>
  <c r="G1229" i="22"/>
  <c r="I1229" i="22" s="1"/>
  <c r="G1228" i="22"/>
  <c r="I1228" i="22" s="1"/>
  <c r="G1227" i="22"/>
  <c r="I1227" i="22" s="1"/>
  <c r="G1226" i="22"/>
  <c r="I1226" i="22" s="1"/>
  <c r="G1225" i="22"/>
  <c r="I1225" i="22" s="1"/>
  <c r="G1224" i="22"/>
  <c r="I1224" i="22" s="1"/>
  <c r="G1223" i="22"/>
  <c r="I1223" i="22" s="1"/>
  <c r="G1222" i="22"/>
  <c r="I1222" i="22" s="1"/>
  <c r="G1221" i="22"/>
  <c r="I1221" i="22" s="1"/>
  <c r="G1220" i="22"/>
  <c r="I1220" i="22" s="1"/>
  <c r="G1219" i="22"/>
  <c r="I1219" i="22" s="1"/>
  <c r="G1218" i="22"/>
  <c r="I1218" i="22" s="1"/>
  <c r="G1217" i="22"/>
  <c r="I1217" i="22" s="1"/>
  <c r="G1216" i="22"/>
  <c r="I1216" i="22" s="1"/>
  <c r="G1614" i="22"/>
  <c r="I1614" i="22" s="1"/>
  <c r="G1598" i="22"/>
  <c r="I1598" i="22" s="1"/>
  <c r="G1582" i="22"/>
  <c r="I1582" i="22" s="1"/>
  <c r="G1566" i="22"/>
  <c r="I1566" i="22" s="1"/>
  <c r="G1550" i="22"/>
  <c r="I1550" i="22" s="1"/>
  <c r="G1534" i="22"/>
  <c r="I1534" i="22" s="1"/>
  <c r="G1533" i="22"/>
  <c r="I1533" i="22" s="1"/>
  <c r="G1532" i="22"/>
  <c r="I1532" i="22" s="1"/>
  <c r="G1531" i="22"/>
  <c r="I1531" i="22" s="1"/>
  <c r="G1530" i="22"/>
  <c r="I1530" i="22" s="1"/>
  <c r="G1529" i="22"/>
  <c r="I1529" i="22" s="1"/>
  <c r="G1528" i="22"/>
  <c r="I1528" i="22" s="1"/>
  <c r="G1527" i="22"/>
  <c r="I1527" i="22" s="1"/>
  <c r="G1526" i="22"/>
  <c r="I1526" i="22" s="1"/>
  <c r="G1525" i="22"/>
  <c r="I1525" i="22" s="1"/>
  <c r="G1524" i="22"/>
  <c r="I1524" i="22" s="1"/>
  <c r="G1523" i="22"/>
  <c r="I1523" i="22" s="1"/>
  <c r="G1507" i="22"/>
  <c r="I1507" i="22" s="1"/>
  <c r="G1493" i="22"/>
  <c r="I1493" i="22" s="1"/>
  <c r="G1485" i="22"/>
  <c r="I1485" i="22" s="1"/>
  <c r="G1477" i="22"/>
  <c r="I1477" i="22" s="1"/>
  <c r="G1469" i="22"/>
  <c r="I1469" i="22" s="1"/>
  <c r="G1461" i="22"/>
  <c r="I1461" i="22" s="1"/>
  <c r="G1453" i="22"/>
  <c r="I1453" i="22" s="1"/>
  <c r="G1445" i="22"/>
  <c r="I1445" i="22" s="1"/>
  <c r="G1437" i="22"/>
  <c r="I1437" i="22" s="1"/>
  <c r="G1429" i="22"/>
  <c r="I1429" i="22" s="1"/>
  <c r="G1421" i="22"/>
  <c r="I1421" i="22" s="1"/>
  <c r="G1413" i="22"/>
  <c r="I1413" i="22" s="1"/>
  <c r="G1405" i="22"/>
  <c r="I1405" i="22" s="1"/>
  <c r="G1397" i="22"/>
  <c r="I1397" i="22" s="1"/>
  <c r="G1389" i="22"/>
  <c r="I1389" i="22" s="1"/>
  <c r="G1381" i="22"/>
  <c r="I1381" i="22" s="1"/>
  <c r="G1373" i="22"/>
  <c r="I1373" i="22" s="1"/>
  <c r="G1365" i="22"/>
  <c r="I1365" i="22" s="1"/>
  <c r="G1357" i="22"/>
  <c r="I1357" i="22" s="1"/>
  <c r="G1349" i="22"/>
  <c r="I1349" i="22" s="1"/>
  <c r="G1341" i="22"/>
  <c r="I1341" i="22" s="1"/>
  <c r="G1333" i="22"/>
  <c r="I1333" i="22" s="1"/>
  <c r="G1325" i="22"/>
  <c r="I1325" i="22" s="1"/>
  <c r="G1317" i="22"/>
  <c r="I1317" i="22" s="1"/>
  <c r="G1309" i="22"/>
  <c r="I1309" i="22" s="1"/>
  <c r="G1301" i="22"/>
  <c r="I1301" i="22" s="1"/>
  <c r="G1293" i="22"/>
  <c r="I1293" i="22" s="1"/>
  <c r="G1285" i="22"/>
  <c r="I1285" i="22" s="1"/>
  <c r="G1277" i="22"/>
  <c r="I1277" i="22" s="1"/>
  <c r="G1269" i="22"/>
  <c r="I1269" i="22" s="1"/>
  <c r="G1602" i="22"/>
  <c r="I1602" i="22" s="1"/>
  <c r="G1570" i="22"/>
  <c r="I1570" i="22" s="1"/>
  <c r="G1538" i="22"/>
  <c r="I1538" i="22" s="1"/>
  <c r="G1511" i="22"/>
  <c r="I1511" i="22" s="1"/>
  <c r="G1487" i="22"/>
  <c r="I1487" i="22" s="1"/>
  <c r="G1471" i="22"/>
  <c r="I1471" i="22" s="1"/>
  <c r="G1455" i="22"/>
  <c r="I1455" i="22" s="1"/>
  <c r="G1439" i="22"/>
  <c r="I1439" i="22" s="1"/>
  <c r="G1423" i="22"/>
  <c r="I1423" i="22" s="1"/>
  <c r="G1407" i="22"/>
  <c r="I1407" i="22" s="1"/>
  <c r="G1391" i="22"/>
  <c r="I1391" i="22" s="1"/>
  <c r="G1375" i="22"/>
  <c r="I1375" i="22" s="1"/>
  <c r="G1359" i="22"/>
  <c r="I1359" i="22" s="1"/>
  <c r="G1343" i="22"/>
  <c r="I1343" i="22" s="1"/>
  <c r="G1327" i="22"/>
  <c r="I1327" i="22" s="1"/>
  <c r="G1311" i="22"/>
  <c r="I1311" i="22" s="1"/>
  <c r="G1295" i="22"/>
  <c r="I1295" i="22" s="1"/>
  <c r="G1279" i="22"/>
  <c r="I1279" i="22" s="1"/>
  <c r="G1594" i="22"/>
  <c r="I1594" i="22" s="1"/>
  <c r="G1562" i="22"/>
  <c r="I1562" i="22" s="1"/>
  <c r="G1503" i="22"/>
  <c r="I1503" i="22" s="1"/>
  <c r="G1483" i="22"/>
  <c r="I1483" i="22" s="1"/>
  <c r="G1467" i="22"/>
  <c r="I1467" i="22" s="1"/>
  <c r="G1451" i="22"/>
  <c r="I1451" i="22" s="1"/>
  <c r="G1435" i="22"/>
  <c r="I1435" i="22" s="1"/>
  <c r="G1419" i="22"/>
  <c r="I1419" i="22" s="1"/>
  <c r="G1403" i="22"/>
  <c r="I1403" i="22" s="1"/>
  <c r="G1387" i="22"/>
  <c r="I1387" i="22" s="1"/>
  <c r="G1371" i="22"/>
  <c r="I1371" i="22" s="1"/>
  <c r="G1355" i="22"/>
  <c r="I1355" i="22" s="1"/>
  <c r="G1339" i="22"/>
  <c r="I1339" i="22" s="1"/>
  <c r="G1323" i="22"/>
  <c r="I1323" i="22" s="1"/>
  <c r="G1307" i="22"/>
  <c r="I1307" i="22" s="1"/>
  <c r="G1291" i="22"/>
  <c r="I1291" i="22" s="1"/>
  <c r="G1275" i="22"/>
  <c r="I1275" i="22" s="1"/>
  <c r="G1179" i="22"/>
  <c r="I1179" i="22" s="1"/>
  <c r="G1175" i="22"/>
  <c r="I1175" i="22" s="1"/>
  <c r="G1171" i="22"/>
  <c r="I1171" i="22" s="1"/>
  <c r="G1167" i="22"/>
  <c r="I1167" i="22" s="1"/>
  <c r="G1163" i="22"/>
  <c r="I1163" i="22" s="1"/>
  <c r="G1159" i="22"/>
  <c r="I1159" i="22" s="1"/>
  <c r="G1155" i="22"/>
  <c r="I1155" i="22" s="1"/>
  <c r="G1151" i="22"/>
  <c r="I1151" i="22" s="1"/>
  <c r="G1147" i="22"/>
  <c r="I1147" i="22" s="1"/>
  <c r="G1143" i="22"/>
  <c r="I1143" i="22" s="1"/>
  <c r="G1139" i="22"/>
  <c r="I1139" i="22" s="1"/>
  <c r="G1135" i="22"/>
  <c r="I1135" i="22" s="1"/>
  <c r="G1131" i="22"/>
  <c r="I1131" i="22" s="1"/>
  <c r="G1127" i="22"/>
  <c r="I1127" i="22" s="1"/>
  <c r="G1123" i="22"/>
  <c r="I1123" i="22" s="1"/>
  <c r="G1119" i="22"/>
  <c r="I1119" i="22" s="1"/>
  <c r="G1115" i="22"/>
  <c r="I1115" i="22" s="1"/>
  <c r="G1111" i="22"/>
  <c r="I1111" i="22" s="1"/>
  <c r="G1107" i="22"/>
  <c r="I1107" i="22" s="1"/>
  <c r="G1103" i="22"/>
  <c r="I1103" i="22" s="1"/>
  <c r="G1099" i="22"/>
  <c r="I1099" i="22" s="1"/>
  <c r="G1095" i="22"/>
  <c r="I1095" i="22" s="1"/>
  <c r="G1091" i="22"/>
  <c r="I1091" i="22" s="1"/>
  <c r="G1087" i="22"/>
  <c r="I1087" i="22" s="1"/>
  <c r="G1083" i="22"/>
  <c r="I1083" i="22" s="1"/>
  <c r="G1079" i="22"/>
  <c r="I1079" i="22" s="1"/>
  <c r="G1075" i="22"/>
  <c r="I1075" i="22" s="1"/>
  <c r="G1071" i="22"/>
  <c r="I1071" i="22" s="1"/>
  <c r="G1067" i="22"/>
  <c r="I1067" i="22" s="1"/>
  <c r="G1063" i="22"/>
  <c r="I1063" i="22" s="1"/>
  <c r="G1059" i="22"/>
  <c r="I1059" i="22" s="1"/>
  <c r="G1055" i="22"/>
  <c r="I1055" i="22" s="1"/>
  <c r="G1051" i="22"/>
  <c r="I1051" i="22" s="1"/>
  <c r="G1047" i="22"/>
  <c r="I1047" i="22" s="1"/>
  <c r="G1043" i="22"/>
  <c r="I1043" i="22" s="1"/>
  <c r="G1039" i="22"/>
  <c r="I1039" i="22" s="1"/>
  <c r="G1035" i="22"/>
  <c r="I1035" i="22" s="1"/>
  <c r="G1031" i="22"/>
  <c r="I1031" i="22" s="1"/>
  <c r="G1027" i="22"/>
  <c r="I1027" i="22" s="1"/>
  <c r="G1023" i="22"/>
  <c r="I1023" i="22" s="1"/>
  <c r="G1019" i="22"/>
  <c r="I1019" i="22" s="1"/>
  <c r="G1015" i="22"/>
  <c r="I1015" i="22" s="1"/>
  <c r="G1011" i="22"/>
  <c r="I1011" i="22" s="1"/>
  <c r="G1007" i="22"/>
  <c r="I1007" i="22" s="1"/>
  <c r="G1003" i="22"/>
  <c r="I1003" i="22" s="1"/>
  <c r="G999" i="22"/>
  <c r="I999" i="22" s="1"/>
  <c r="G995" i="22"/>
  <c r="I995" i="22" s="1"/>
  <c r="G991" i="22"/>
  <c r="I991" i="22" s="1"/>
  <c r="G987" i="22"/>
  <c r="I987" i="22" s="1"/>
  <c r="G983" i="22"/>
  <c r="I983" i="22" s="1"/>
  <c r="G979" i="22"/>
  <c r="I979" i="22" s="1"/>
  <c r="G975" i="22"/>
  <c r="I975" i="22" s="1"/>
  <c r="G971" i="22"/>
  <c r="I971" i="22" s="1"/>
  <c r="G967" i="22"/>
  <c r="I967" i="22" s="1"/>
  <c r="G963" i="22"/>
  <c r="I963" i="22" s="1"/>
  <c r="G959" i="22"/>
  <c r="I959" i="22" s="1"/>
  <c r="G955" i="22"/>
  <c r="I955" i="22" s="1"/>
  <c r="G951" i="22"/>
  <c r="I951" i="22" s="1"/>
  <c r="G947" i="22"/>
  <c r="I947" i="22" s="1"/>
  <c r="G943" i="22"/>
  <c r="I943" i="22" s="1"/>
  <c r="G939" i="22"/>
  <c r="I939" i="22" s="1"/>
  <c r="G935" i="22"/>
  <c r="I935" i="22" s="1"/>
  <c r="G931" i="22"/>
  <c r="I931" i="22" s="1"/>
  <c r="G927" i="22"/>
  <c r="I927" i="22" s="1"/>
  <c r="G923" i="22"/>
  <c r="I923" i="22" s="1"/>
  <c r="G919" i="22"/>
  <c r="I919" i="22" s="1"/>
  <c r="G915" i="22"/>
  <c r="I915" i="22" s="1"/>
  <c r="G911" i="22"/>
  <c r="I911" i="22" s="1"/>
  <c r="G907" i="22"/>
  <c r="I907" i="22" s="1"/>
  <c r="G903" i="22"/>
  <c r="I903" i="22" s="1"/>
  <c r="G899" i="22"/>
  <c r="I899" i="22" s="1"/>
  <c r="G895" i="22"/>
  <c r="I895" i="22" s="1"/>
  <c r="G891" i="22"/>
  <c r="I891" i="22" s="1"/>
  <c r="G887" i="22"/>
  <c r="I887" i="22" s="1"/>
  <c r="G883" i="22"/>
  <c r="I883" i="22" s="1"/>
  <c r="G879" i="22"/>
  <c r="I879" i="22" s="1"/>
  <c r="G875" i="22"/>
  <c r="I875" i="22" s="1"/>
  <c r="G871" i="22"/>
  <c r="I871" i="22" s="1"/>
  <c r="G867" i="22"/>
  <c r="I867" i="22" s="1"/>
  <c r="G863" i="22"/>
  <c r="I863" i="22" s="1"/>
  <c r="G859" i="22"/>
  <c r="I859" i="22" s="1"/>
  <c r="G855" i="22"/>
  <c r="I855" i="22" s="1"/>
  <c r="G851" i="22"/>
  <c r="I851" i="22" s="1"/>
  <c r="G847" i="22"/>
  <c r="I847" i="22" s="1"/>
  <c r="G843" i="22"/>
  <c r="I843" i="22" s="1"/>
  <c r="G839" i="22"/>
  <c r="I839" i="22" s="1"/>
  <c r="G835" i="22"/>
  <c r="I835" i="22" s="1"/>
  <c r="G831" i="22"/>
  <c r="I831" i="22" s="1"/>
  <c r="G827" i="22"/>
  <c r="I827" i="22" s="1"/>
  <c r="G823" i="22"/>
  <c r="I823" i="22" s="1"/>
  <c r="G819" i="22"/>
  <c r="I819" i="22" s="1"/>
  <c r="G815" i="22"/>
  <c r="I815" i="22" s="1"/>
  <c r="G811" i="22"/>
  <c r="I811" i="22" s="1"/>
  <c r="G807" i="22"/>
  <c r="I807" i="22" s="1"/>
  <c r="G803" i="22"/>
  <c r="I803" i="22" s="1"/>
  <c r="G799" i="22"/>
  <c r="I799" i="22" s="1"/>
  <c r="G795" i="22"/>
  <c r="I795" i="22" s="1"/>
  <c r="G791" i="22"/>
  <c r="I791" i="22" s="1"/>
  <c r="G787" i="22"/>
  <c r="I787" i="22" s="1"/>
  <c r="G783" i="22"/>
  <c r="I783" i="22" s="1"/>
  <c r="G779" i="22"/>
  <c r="I779" i="22" s="1"/>
  <c r="G775" i="22"/>
  <c r="I775" i="22" s="1"/>
  <c r="G771" i="22"/>
  <c r="I771" i="22" s="1"/>
  <c r="G767" i="22"/>
  <c r="I767" i="22" s="1"/>
  <c r="G763" i="22"/>
  <c r="I763" i="22" s="1"/>
  <c r="G759" i="22"/>
  <c r="I759" i="22" s="1"/>
  <c r="G755" i="22"/>
  <c r="I755" i="22" s="1"/>
  <c r="G751" i="22"/>
  <c r="I751" i="22" s="1"/>
  <c r="G747" i="22"/>
  <c r="I747" i="22" s="1"/>
  <c r="G743" i="22"/>
  <c r="I743" i="22" s="1"/>
  <c r="G739" i="22"/>
  <c r="I739" i="22" s="1"/>
  <c r="G735" i="22"/>
  <c r="I735" i="22" s="1"/>
  <c r="G731" i="22"/>
  <c r="I731" i="22" s="1"/>
  <c r="G727" i="22"/>
  <c r="I727" i="22" s="1"/>
  <c r="G723" i="22"/>
  <c r="I723" i="22" s="1"/>
  <c r="G719" i="22"/>
  <c r="I719" i="22" s="1"/>
  <c r="G715" i="22"/>
  <c r="I715" i="22" s="1"/>
  <c r="G711" i="22"/>
  <c r="I711" i="22" s="1"/>
  <c r="G707" i="22"/>
  <c r="I707" i="22" s="1"/>
  <c r="G703" i="22"/>
  <c r="I703" i="22" s="1"/>
  <c r="G699" i="22"/>
  <c r="I699" i="22" s="1"/>
  <c r="G695" i="22"/>
  <c r="I695" i="22" s="1"/>
  <c r="G691" i="22"/>
  <c r="I691" i="22" s="1"/>
  <c r="G687" i="22"/>
  <c r="I687" i="22" s="1"/>
  <c r="G683" i="22"/>
  <c r="I683" i="22" s="1"/>
  <c r="G679" i="22"/>
  <c r="I679" i="22" s="1"/>
  <c r="G675" i="22"/>
  <c r="I675" i="22" s="1"/>
  <c r="G671" i="22"/>
  <c r="I671" i="22" s="1"/>
  <c r="G667" i="22"/>
  <c r="I667" i="22" s="1"/>
  <c r="G663" i="22"/>
  <c r="I663" i="22" s="1"/>
  <c r="G659" i="22"/>
  <c r="I659" i="22" s="1"/>
  <c r="G655" i="22"/>
  <c r="I655" i="22" s="1"/>
  <c r="G651" i="22"/>
  <c r="I651" i="22" s="1"/>
  <c r="G647" i="22"/>
  <c r="I647" i="22" s="1"/>
  <c r="G643" i="22"/>
  <c r="I643" i="22" s="1"/>
  <c r="G639" i="22"/>
  <c r="I639" i="22" s="1"/>
  <c r="G635" i="22"/>
  <c r="I635" i="22" s="1"/>
  <c r="G631" i="22"/>
  <c r="I631" i="22" s="1"/>
  <c r="G627" i="22"/>
  <c r="I627" i="22" s="1"/>
  <c r="G623" i="22"/>
  <c r="I623" i="22" s="1"/>
  <c r="G619" i="22"/>
  <c r="I619" i="22" s="1"/>
  <c r="G615" i="22"/>
  <c r="I615" i="22" s="1"/>
  <c r="G611" i="22"/>
  <c r="I611" i="22" s="1"/>
  <c r="G607" i="22"/>
  <c r="I607" i="22" s="1"/>
  <c r="G603" i="22"/>
  <c r="I603" i="22" s="1"/>
  <c r="G599" i="22"/>
  <c r="I599" i="22" s="1"/>
  <c r="G595" i="22"/>
  <c r="I595" i="22" s="1"/>
  <c r="G591" i="22"/>
  <c r="I591" i="22" s="1"/>
  <c r="G587" i="22"/>
  <c r="I587" i="22" s="1"/>
  <c r="G1619" i="22"/>
  <c r="I1619" i="22" s="1"/>
  <c r="G1618" i="22"/>
  <c r="I1618" i="22" s="1"/>
  <c r="G1586" i="22"/>
  <c r="I1586" i="22" s="1"/>
  <c r="G1554" i="22"/>
  <c r="I1554" i="22" s="1"/>
  <c r="G1495" i="22"/>
  <c r="I1495" i="22" s="1"/>
  <c r="G1479" i="22"/>
  <c r="I1479" i="22" s="1"/>
  <c r="G1463" i="22"/>
  <c r="I1463" i="22" s="1"/>
  <c r="G1447" i="22"/>
  <c r="I1447" i="22" s="1"/>
  <c r="G1431" i="22"/>
  <c r="I1431" i="22" s="1"/>
  <c r="G1415" i="22"/>
  <c r="I1415" i="22" s="1"/>
  <c r="G1399" i="22"/>
  <c r="I1399" i="22" s="1"/>
  <c r="G1383" i="22"/>
  <c r="I1383" i="22" s="1"/>
  <c r="G1367" i="22"/>
  <c r="I1367" i="22" s="1"/>
  <c r="G1351" i="22"/>
  <c r="I1351" i="22" s="1"/>
  <c r="G1335" i="22"/>
  <c r="I1335" i="22" s="1"/>
  <c r="G1319" i="22"/>
  <c r="I1319" i="22" s="1"/>
  <c r="G1303" i="22"/>
  <c r="I1303" i="22" s="1"/>
  <c r="G1287" i="22"/>
  <c r="I1287" i="22" s="1"/>
  <c r="G1271" i="22"/>
  <c r="I1271" i="22" s="1"/>
  <c r="G1215" i="22"/>
  <c r="I1215" i="22" s="1"/>
  <c r="G1214" i="22"/>
  <c r="I1214" i="22" s="1"/>
  <c r="G1213" i="22"/>
  <c r="I1213" i="22" s="1"/>
  <c r="G1212" i="22"/>
  <c r="I1212" i="22" s="1"/>
  <c r="G1211" i="22"/>
  <c r="I1211" i="22" s="1"/>
  <c r="G1210" i="22"/>
  <c r="I1210" i="22" s="1"/>
  <c r="G1209" i="22"/>
  <c r="I1209" i="22" s="1"/>
  <c r="G1208" i="22"/>
  <c r="I1208" i="22" s="1"/>
  <c r="G1207" i="22"/>
  <c r="I1207" i="22" s="1"/>
  <c r="G1206" i="22"/>
  <c r="I1206" i="22" s="1"/>
  <c r="G1205" i="22"/>
  <c r="I1205" i="22" s="1"/>
  <c r="G1610" i="22"/>
  <c r="I1610" i="22" s="1"/>
  <c r="G1578" i="22"/>
  <c r="I1578" i="22" s="1"/>
  <c r="G1546" i="22"/>
  <c r="I1546" i="22" s="1"/>
  <c r="G1519" i="22"/>
  <c r="I1519" i="22" s="1"/>
  <c r="G1491" i="22"/>
  <c r="I1491" i="22" s="1"/>
  <c r="G1475" i="22"/>
  <c r="I1475" i="22" s="1"/>
  <c r="G1459" i="22"/>
  <c r="I1459" i="22" s="1"/>
  <c r="G1443" i="22"/>
  <c r="I1443" i="22" s="1"/>
  <c r="G1427" i="22"/>
  <c r="I1427" i="22" s="1"/>
  <c r="G1411" i="22"/>
  <c r="I1411" i="22" s="1"/>
  <c r="G1395" i="22"/>
  <c r="I1395" i="22" s="1"/>
  <c r="G1379" i="22"/>
  <c r="I1379" i="22" s="1"/>
  <c r="G1363" i="22"/>
  <c r="I1363" i="22" s="1"/>
  <c r="G1347" i="22"/>
  <c r="I1347" i="22" s="1"/>
  <c r="G1331" i="22"/>
  <c r="I1331" i="22" s="1"/>
  <c r="G1315" i="22"/>
  <c r="I1315" i="22" s="1"/>
  <c r="G1299" i="22"/>
  <c r="I1299" i="22" s="1"/>
  <c r="G1283" i="22"/>
  <c r="I1283" i="22" s="1"/>
  <c r="G1177" i="22"/>
  <c r="I1177" i="22" s="1"/>
  <c r="G1173" i="22"/>
  <c r="I1173" i="22" s="1"/>
  <c r="G1169" i="22"/>
  <c r="I1169" i="22" s="1"/>
  <c r="G1165" i="22"/>
  <c r="I1165" i="22" s="1"/>
  <c r="G1161" i="22"/>
  <c r="I1161" i="22" s="1"/>
  <c r="G1157" i="22"/>
  <c r="I1157" i="22" s="1"/>
  <c r="G1153" i="22"/>
  <c r="I1153" i="22" s="1"/>
  <c r="G1149" i="22"/>
  <c r="I1149" i="22" s="1"/>
  <c r="G1145" i="22"/>
  <c r="I1145" i="22" s="1"/>
  <c r="G1141" i="22"/>
  <c r="I1141" i="22" s="1"/>
  <c r="G1137" i="22"/>
  <c r="I1137" i="22" s="1"/>
  <c r="G1133" i="22"/>
  <c r="I1133" i="22" s="1"/>
  <c r="G1129" i="22"/>
  <c r="I1129" i="22" s="1"/>
  <c r="G1125" i="22"/>
  <c r="I1125" i="22" s="1"/>
  <c r="G1121" i="22"/>
  <c r="I1121" i="22" s="1"/>
  <c r="G1117" i="22"/>
  <c r="I1117" i="22" s="1"/>
  <c r="G1113" i="22"/>
  <c r="I1113" i="22" s="1"/>
  <c r="G1109" i="22"/>
  <c r="I1109" i="22" s="1"/>
  <c r="G1105" i="22"/>
  <c r="I1105" i="22" s="1"/>
  <c r="G1101" i="22"/>
  <c r="I1101" i="22" s="1"/>
  <c r="G1097" i="22"/>
  <c r="I1097" i="22" s="1"/>
  <c r="G1093" i="22"/>
  <c r="I1093" i="22" s="1"/>
  <c r="G1089" i="22"/>
  <c r="I1089" i="22" s="1"/>
  <c r="G1085" i="22"/>
  <c r="I1085" i="22" s="1"/>
  <c r="G1081" i="22"/>
  <c r="I1081" i="22" s="1"/>
  <c r="G1077" i="22"/>
  <c r="I1077" i="22" s="1"/>
  <c r="G1073" i="22"/>
  <c r="I1073" i="22" s="1"/>
  <c r="G1069" i="22"/>
  <c r="I1069" i="22" s="1"/>
  <c r="G1065" i="22"/>
  <c r="I1065" i="22" s="1"/>
  <c r="G1061" i="22"/>
  <c r="I1061" i="22" s="1"/>
  <c r="G1057" i="22"/>
  <c r="I1057" i="22" s="1"/>
  <c r="G1053" i="22"/>
  <c r="I1053" i="22" s="1"/>
  <c r="G1049" i="22"/>
  <c r="I1049" i="22" s="1"/>
  <c r="G1045" i="22"/>
  <c r="I1045" i="22" s="1"/>
  <c r="G1041" i="22"/>
  <c r="I1041" i="22" s="1"/>
  <c r="G1037" i="22"/>
  <c r="I1037" i="22" s="1"/>
  <c r="G1033" i="22"/>
  <c r="I1033" i="22" s="1"/>
  <c r="G1029" i="22"/>
  <c r="I1029" i="22" s="1"/>
  <c r="G1025" i="22"/>
  <c r="I1025" i="22" s="1"/>
  <c r="G1021" i="22"/>
  <c r="I1021" i="22" s="1"/>
  <c r="G1017" i="22"/>
  <c r="I1017" i="22" s="1"/>
  <c r="G1013" i="22"/>
  <c r="I1013" i="22" s="1"/>
  <c r="G1009" i="22"/>
  <c r="I1009" i="22" s="1"/>
  <c r="G1005" i="22"/>
  <c r="I1005" i="22" s="1"/>
  <c r="G1001" i="22"/>
  <c r="I1001" i="22" s="1"/>
  <c r="G997" i="22"/>
  <c r="I997" i="22" s="1"/>
  <c r="G993" i="22"/>
  <c r="I993" i="22" s="1"/>
  <c r="G989" i="22"/>
  <c r="I989" i="22" s="1"/>
  <c r="G985" i="22"/>
  <c r="I985" i="22" s="1"/>
  <c r="G981" i="22"/>
  <c r="I981" i="22" s="1"/>
  <c r="G977" i="22"/>
  <c r="I977" i="22" s="1"/>
  <c r="G973" i="22"/>
  <c r="I973" i="22" s="1"/>
  <c r="G969" i="22"/>
  <c r="I969" i="22" s="1"/>
  <c r="G965" i="22"/>
  <c r="I965" i="22" s="1"/>
  <c r="G961" i="22"/>
  <c r="I961" i="22" s="1"/>
  <c r="G957" i="22"/>
  <c r="I957" i="22" s="1"/>
  <c r="G953" i="22"/>
  <c r="I953" i="22" s="1"/>
  <c r="G949" i="22"/>
  <c r="I949" i="22" s="1"/>
  <c r="G945" i="22"/>
  <c r="I945" i="22" s="1"/>
  <c r="G941" i="22"/>
  <c r="I941" i="22" s="1"/>
  <c r="G937" i="22"/>
  <c r="I937" i="22" s="1"/>
  <c r="G933" i="22"/>
  <c r="I933" i="22" s="1"/>
  <c r="G929" i="22"/>
  <c r="I929" i="22" s="1"/>
  <c r="G925" i="22"/>
  <c r="I925" i="22" s="1"/>
  <c r="G921" i="22"/>
  <c r="I921" i="22" s="1"/>
  <c r="G917" i="22"/>
  <c r="I917" i="22" s="1"/>
  <c r="G913" i="22"/>
  <c r="I913" i="22" s="1"/>
  <c r="G909" i="22"/>
  <c r="I909" i="22" s="1"/>
  <c r="G905" i="22"/>
  <c r="I905" i="22" s="1"/>
  <c r="G901" i="22"/>
  <c r="I901" i="22" s="1"/>
  <c r="G897" i="22"/>
  <c r="I897" i="22" s="1"/>
  <c r="G893" i="22"/>
  <c r="I893" i="22" s="1"/>
  <c r="G889" i="22"/>
  <c r="I889" i="22" s="1"/>
  <c r="G885" i="22"/>
  <c r="I885" i="22" s="1"/>
  <c r="G881" i="22"/>
  <c r="I881" i="22" s="1"/>
  <c r="G877" i="22"/>
  <c r="I877" i="22" s="1"/>
  <c r="G873" i="22"/>
  <c r="I873" i="22" s="1"/>
  <c r="G869" i="22"/>
  <c r="I869" i="22" s="1"/>
  <c r="G865" i="22"/>
  <c r="I865" i="22" s="1"/>
  <c r="G861" i="22"/>
  <c r="I861" i="22" s="1"/>
  <c r="G857" i="22"/>
  <c r="I857" i="22" s="1"/>
  <c r="G853" i="22"/>
  <c r="I853" i="22" s="1"/>
  <c r="G849" i="22"/>
  <c r="I849" i="22" s="1"/>
  <c r="G845" i="22"/>
  <c r="I845" i="22" s="1"/>
  <c r="G841" i="22"/>
  <c r="I841" i="22" s="1"/>
  <c r="G837" i="22"/>
  <c r="I837" i="22" s="1"/>
  <c r="G833" i="22"/>
  <c r="I833" i="22" s="1"/>
  <c r="G829" i="22"/>
  <c r="I829" i="22" s="1"/>
  <c r="G825" i="22"/>
  <c r="I825" i="22" s="1"/>
  <c r="G821" i="22"/>
  <c r="I821" i="22" s="1"/>
  <c r="G817" i="22"/>
  <c r="I817" i="22" s="1"/>
  <c r="G813" i="22"/>
  <c r="I813" i="22" s="1"/>
  <c r="G809" i="22"/>
  <c r="I809" i="22" s="1"/>
  <c r="G805" i="22"/>
  <c r="I805" i="22" s="1"/>
  <c r="G801" i="22"/>
  <c r="I801" i="22" s="1"/>
  <c r="G797" i="22"/>
  <c r="I797" i="22" s="1"/>
  <c r="G793" i="22"/>
  <c r="I793" i="22" s="1"/>
  <c r="G789" i="22"/>
  <c r="I789" i="22" s="1"/>
  <c r="G785" i="22"/>
  <c r="I785" i="22" s="1"/>
  <c r="G781" i="22"/>
  <c r="I781" i="22" s="1"/>
  <c r="G777" i="22"/>
  <c r="I777" i="22" s="1"/>
  <c r="G773" i="22"/>
  <c r="I773" i="22" s="1"/>
  <c r="G769" i="22"/>
  <c r="I769" i="22" s="1"/>
  <c r="G765" i="22"/>
  <c r="I765" i="22" s="1"/>
  <c r="G761" i="22"/>
  <c r="I761" i="22" s="1"/>
  <c r="G757" i="22"/>
  <c r="I757" i="22" s="1"/>
  <c r="G753" i="22"/>
  <c r="I753" i="22" s="1"/>
  <c r="G749" i="22"/>
  <c r="I749" i="22" s="1"/>
  <c r="G745" i="22"/>
  <c r="I745" i="22" s="1"/>
  <c r="G741" i="22"/>
  <c r="I741" i="22" s="1"/>
  <c r="G737" i="22"/>
  <c r="I737" i="22" s="1"/>
  <c r="G733" i="22"/>
  <c r="I733" i="22" s="1"/>
  <c r="G729" i="22"/>
  <c r="I729" i="22" s="1"/>
  <c r="G725" i="22"/>
  <c r="I725" i="22" s="1"/>
  <c r="G721" i="22"/>
  <c r="I721" i="22" s="1"/>
  <c r="G717" i="22"/>
  <c r="I717" i="22" s="1"/>
  <c r="G713" i="22"/>
  <c r="I713" i="22" s="1"/>
  <c r="G709" i="22"/>
  <c r="I709" i="22" s="1"/>
  <c r="G705" i="22"/>
  <c r="I705" i="22" s="1"/>
  <c r="G701" i="22"/>
  <c r="I701" i="22" s="1"/>
  <c r="G697" i="22"/>
  <c r="I697" i="22" s="1"/>
  <c r="G693" i="22"/>
  <c r="I693" i="22" s="1"/>
  <c r="G689" i="22"/>
  <c r="I689" i="22" s="1"/>
  <c r="G685" i="22"/>
  <c r="I685" i="22" s="1"/>
  <c r="G681" i="22"/>
  <c r="I681" i="22" s="1"/>
  <c r="G677" i="22"/>
  <c r="I677" i="22" s="1"/>
  <c r="G673" i="22"/>
  <c r="I673" i="22" s="1"/>
  <c r="G669" i="22"/>
  <c r="I669" i="22" s="1"/>
  <c r="G665" i="22"/>
  <c r="I665" i="22" s="1"/>
  <c r="G661" i="22"/>
  <c r="I661" i="22" s="1"/>
  <c r="G657" i="22"/>
  <c r="I657" i="22" s="1"/>
  <c r="G653" i="22"/>
  <c r="I653" i="22" s="1"/>
  <c r="G649" i="22"/>
  <c r="I649" i="22" s="1"/>
  <c r="G645" i="22"/>
  <c r="I645" i="22" s="1"/>
  <c r="G641" i="22"/>
  <c r="I641" i="22" s="1"/>
  <c r="G637" i="22"/>
  <c r="I637" i="22" s="1"/>
  <c r="G633" i="22"/>
  <c r="I633" i="22" s="1"/>
  <c r="G629" i="22"/>
  <c r="I629" i="22" s="1"/>
  <c r="G625" i="22"/>
  <c r="I625" i="22" s="1"/>
  <c r="G621" i="22"/>
  <c r="I621" i="22" s="1"/>
  <c r="G617" i="22"/>
  <c r="I617" i="22" s="1"/>
  <c r="G613" i="22"/>
  <c r="I613" i="22" s="1"/>
  <c r="G609" i="22"/>
  <c r="I609" i="22" s="1"/>
  <c r="G605" i="22"/>
  <c r="I605" i="22" s="1"/>
  <c r="G601" i="22"/>
  <c r="I601" i="22" s="1"/>
  <c r="G597" i="22"/>
  <c r="I597" i="22" s="1"/>
  <c r="G593" i="22"/>
  <c r="I593" i="22" s="1"/>
  <c r="G589" i="22"/>
  <c r="I589" i="22" s="1"/>
  <c r="G585" i="22"/>
  <c r="I585" i="22" s="1"/>
  <c r="G1204" i="22"/>
  <c r="I1204" i="22" s="1"/>
  <c r="G1203" i="22"/>
  <c r="I1203" i="22" s="1"/>
  <c r="G1202" i="22"/>
  <c r="I1202" i="22" s="1"/>
  <c r="G1201" i="22"/>
  <c r="I1201" i="22" s="1"/>
  <c r="G1200" i="22"/>
  <c r="I1200" i="22" s="1"/>
  <c r="G1199" i="22"/>
  <c r="I1199" i="22" s="1"/>
  <c r="G1198" i="22"/>
  <c r="I1198" i="22" s="1"/>
  <c r="G1197" i="22"/>
  <c r="I1197" i="22" s="1"/>
  <c r="G1196" i="22"/>
  <c r="I1196" i="22" s="1"/>
  <c r="G1195" i="22"/>
  <c r="I1195" i="22" s="1"/>
  <c r="G1194" i="22"/>
  <c r="I1194" i="22" s="1"/>
  <c r="G1193" i="22"/>
  <c r="I1193" i="22" s="1"/>
  <c r="G1192" i="22"/>
  <c r="I1192" i="22" s="1"/>
  <c r="G1191" i="22"/>
  <c r="I1191" i="22" s="1"/>
  <c r="G1190" i="22"/>
  <c r="I1190" i="22" s="1"/>
  <c r="G1189" i="22"/>
  <c r="I1189" i="22" s="1"/>
  <c r="G1188" i="22"/>
  <c r="I1188" i="22" s="1"/>
  <c r="G1187" i="22"/>
  <c r="I1187" i="22" s="1"/>
  <c r="G1186" i="22"/>
  <c r="I1186" i="22" s="1"/>
  <c r="G1185" i="22"/>
  <c r="I1185" i="22" s="1"/>
  <c r="G1184" i="22"/>
  <c r="I1184" i="22" s="1"/>
  <c r="G1183" i="22"/>
  <c r="I1183" i="22" s="1"/>
  <c r="G1182" i="22"/>
  <c r="I1182" i="22" s="1"/>
  <c r="G1181" i="22"/>
  <c r="I1181" i="22" s="1"/>
  <c r="G1180" i="22"/>
  <c r="I1180" i="22" s="1"/>
  <c r="G1172" i="22"/>
  <c r="I1172" i="22" s="1"/>
  <c r="G1164" i="22"/>
  <c r="I1164" i="22" s="1"/>
  <c r="G1156" i="22"/>
  <c r="I1156" i="22" s="1"/>
  <c r="G1148" i="22"/>
  <c r="I1148" i="22" s="1"/>
  <c r="G1140" i="22"/>
  <c r="I1140" i="22" s="1"/>
  <c r="G1132" i="22"/>
  <c r="I1132" i="22" s="1"/>
  <c r="G1124" i="22"/>
  <c r="I1124" i="22" s="1"/>
  <c r="G1116" i="22"/>
  <c r="I1116" i="22" s="1"/>
  <c r="G1108" i="22"/>
  <c r="I1108" i="22" s="1"/>
  <c r="G1100" i="22"/>
  <c r="I1100" i="22" s="1"/>
  <c r="G1092" i="22"/>
  <c r="I1092" i="22" s="1"/>
  <c r="G1084" i="22"/>
  <c r="I1084" i="22" s="1"/>
  <c r="G1076" i="22"/>
  <c r="I1076" i="22" s="1"/>
  <c r="G1068" i="22"/>
  <c r="I1068" i="22" s="1"/>
  <c r="G1060" i="22"/>
  <c r="I1060" i="22" s="1"/>
  <c r="G1052" i="22"/>
  <c r="I1052" i="22" s="1"/>
  <c r="G1044" i="22"/>
  <c r="I1044" i="22" s="1"/>
  <c r="G1036" i="22"/>
  <c r="I1036" i="22" s="1"/>
  <c r="G1028" i="22"/>
  <c r="I1028" i="22" s="1"/>
  <c r="G1020" i="22"/>
  <c r="I1020" i="22" s="1"/>
  <c r="G1012" i="22"/>
  <c r="I1012" i="22" s="1"/>
  <c r="G1004" i="22"/>
  <c r="I1004" i="22" s="1"/>
  <c r="G996" i="22"/>
  <c r="I996" i="22" s="1"/>
  <c r="G988" i="22"/>
  <c r="I988" i="22" s="1"/>
  <c r="G980" i="22"/>
  <c r="I980" i="22" s="1"/>
  <c r="G972" i="22"/>
  <c r="I972" i="22" s="1"/>
  <c r="G964" i="22"/>
  <c r="I964" i="22" s="1"/>
  <c r="G956" i="22"/>
  <c r="I956" i="22" s="1"/>
  <c r="G948" i="22"/>
  <c r="I948" i="22" s="1"/>
  <c r="G940" i="22"/>
  <c r="I940" i="22" s="1"/>
  <c r="G932" i="22"/>
  <c r="I932" i="22" s="1"/>
  <c r="G924" i="22"/>
  <c r="I924" i="22" s="1"/>
  <c r="G916" i="22"/>
  <c r="I916" i="22" s="1"/>
  <c r="G908" i="22"/>
  <c r="I908" i="22" s="1"/>
  <c r="G900" i="22"/>
  <c r="I900" i="22" s="1"/>
  <c r="G892" i="22"/>
  <c r="I892" i="22" s="1"/>
  <c r="G1178" i="22"/>
  <c r="I1178" i="22" s="1"/>
  <c r="G1170" i="22"/>
  <c r="I1170" i="22" s="1"/>
  <c r="G1162" i="22"/>
  <c r="I1162" i="22" s="1"/>
  <c r="G1154" i="22"/>
  <c r="I1154" i="22" s="1"/>
  <c r="G1146" i="22"/>
  <c r="I1146" i="22" s="1"/>
  <c r="G1138" i="22"/>
  <c r="I1138" i="22" s="1"/>
  <c r="G1130" i="22"/>
  <c r="I1130" i="22" s="1"/>
  <c r="G1122" i="22"/>
  <c r="I1122" i="22" s="1"/>
  <c r="G1114" i="22"/>
  <c r="I1114" i="22" s="1"/>
  <c r="G1106" i="22"/>
  <c r="I1106" i="22" s="1"/>
  <c r="G1098" i="22"/>
  <c r="I1098" i="22" s="1"/>
  <c r="G1090" i="22"/>
  <c r="I1090" i="22" s="1"/>
  <c r="G1082" i="22"/>
  <c r="I1082" i="22" s="1"/>
  <c r="G1074" i="22"/>
  <c r="I1074" i="22" s="1"/>
  <c r="G1066" i="22"/>
  <c r="I1066" i="22" s="1"/>
  <c r="G1058" i="22"/>
  <c r="I1058" i="22" s="1"/>
  <c r="G1050" i="22"/>
  <c r="I1050" i="22" s="1"/>
  <c r="G1042" i="22"/>
  <c r="I1042" i="22" s="1"/>
  <c r="G1034" i="22"/>
  <c r="I1034" i="22" s="1"/>
  <c r="G1026" i="22"/>
  <c r="I1026" i="22" s="1"/>
  <c r="G1018" i="22"/>
  <c r="I1018" i="22" s="1"/>
  <c r="G1010" i="22"/>
  <c r="I1010" i="22" s="1"/>
  <c r="G1002" i="22"/>
  <c r="I1002" i="22" s="1"/>
  <c r="G994" i="22"/>
  <c r="I994" i="22" s="1"/>
  <c r="G986" i="22"/>
  <c r="I986" i="22" s="1"/>
  <c r="G978" i="22"/>
  <c r="I978" i="22" s="1"/>
  <c r="G970" i="22"/>
  <c r="I970" i="22" s="1"/>
  <c r="G962" i="22"/>
  <c r="I962" i="22" s="1"/>
  <c r="G954" i="22"/>
  <c r="I954" i="22" s="1"/>
  <c r="G946" i="22"/>
  <c r="I946" i="22" s="1"/>
  <c r="G938" i="22"/>
  <c r="I938" i="22" s="1"/>
  <c r="G930" i="22"/>
  <c r="I930" i="22" s="1"/>
  <c r="G922" i="22"/>
  <c r="I922" i="22" s="1"/>
  <c r="G914" i="22"/>
  <c r="I914" i="22" s="1"/>
  <c r="G906" i="22"/>
  <c r="I906" i="22" s="1"/>
  <c r="G898" i="22"/>
  <c r="I898" i="22" s="1"/>
  <c r="G890" i="22"/>
  <c r="I890" i="22" s="1"/>
  <c r="G882" i="22"/>
  <c r="I882" i="22" s="1"/>
  <c r="G874" i="22"/>
  <c r="I874" i="22" s="1"/>
  <c r="G866" i="22"/>
  <c r="I866" i="22" s="1"/>
  <c r="G858" i="22"/>
  <c r="I858" i="22" s="1"/>
  <c r="G850" i="22"/>
  <c r="I850" i="22" s="1"/>
  <c r="G842" i="22"/>
  <c r="I842" i="22" s="1"/>
  <c r="G834" i="22"/>
  <c r="I834" i="22" s="1"/>
  <c r="G826" i="22"/>
  <c r="I826" i="22" s="1"/>
  <c r="G818" i="22"/>
  <c r="I818" i="22" s="1"/>
  <c r="G810" i="22"/>
  <c r="I810" i="22" s="1"/>
  <c r="G802" i="22"/>
  <c r="I802" i="22" s="1"/>
  <c r="G794" i="22"/>
  <c r="I794" i="22" s="1"/>
  <c r="G786" i="22"/>
  <c r="I786" i="22" s="1"/>
  <c r="G778" i="22"/>
  <c r="I778" i="22" s="1"/>
  <c r="G770" i="22"/>
  <c r="I770" i="22" s="1"/>
  <c r="G762" i="22"/>
  <c r="I762" i="22" s="1"/>
  <c r="G754" i="22"/>
  <c r="I754" i="22" s="1"/>
  <c r="G746" i="22"/>
  <c r="I746" i="22" s="1"/>
  <c r="G738" i="22"/>
  <c r="I738" i="22" s="1"/>
  <c r="G730" i="22"/>
  <c r="I730" i="22" s="1"/>
  <c r="G722" i="22"/>
  <c r="I722" i="22" s="1"/>
  <c r="G714" i="22"/>
  <c r="I714" i="22" s="1"/>
  <c r="G706" i="22"/>
  <c r="I706" i="22" s="1"/>
  <c r="G698" i="22"/>
  <c r="I698" i="22" s="1"/>
  <c r="G690" i="22"/>
  <c r="I690" i="22" s="1"/>
  <c r="G682" i="22"/>
  <c r="I682" i="22" s="1"/>
  <c r="G674" i="22"/>
  <c r="I674" i="22" s="1"/>
  <c r="G666" i="22"/>
  <c r="I666" i="22" s="1"/>
  <c r="G658" i="22"/>
  <c r="I658" i="22" s="1"/>
  <c r="G650" i="22"/>
  <c r="I650" i="22" s="1"/>
  <c r="G642" i="22"/>
  <c r="I642" i="22" s="1"/>
  <c r="G634" i="22"/>
  <c r="I634" i="22" s="1"/>
  <c r="G626" i="22"/>
  <c r="I626" i="22" s="1"/>
  <c r="G618" i="22"/>
  <c r="I618" i="22" s="1"/>
  <c r="G610" i="22"/>
  <c r="I610" i="22" s="1"/>
  <c r="G602" i="22"/>
  <c r="I602" i="22" s="1"/>
  <c r="G594" i="22"/>
  <c r="I594" i="22" s="1"/>
  <c r="G586" i="22"/>
  <c r="I586" i="22" s="1"/>
  <c r="G583" i="22"/>
  <c r="I583" i="22" s="1"/>
  <c r="G579" i="22"/>
  <c r="I579" i="22" s="1"/>
  <c r="G575" i="22"/>
  <c r="I575" i="22" s="1"/>
  <c r="G571" i="22"/>
  <c r="I571" i="22" s="1"/>
  <c r="G567" i="22"/>
  <c r="I567" i="22" s="1"/>
  <c r="G563" i="22"/>
  <c r="I563" i="22" s="1"/>
  <c r="G559" i="22"/>
  <c r="I559" i="22" s="1"/>
  <c r="G555" i="22"/>
  <c r="I555" i="22" s="1"/>
  <c r="G551" i="22"/>
  <c r="I551" i="22" s="1"/>
  <c r="G547" i="22"/>
  <c r="I547" i="22" s="1"/>
  <c r="G543" i="22"/>
  <c r="I543" i="22" s="1"/>
  <c r="G539" i="22"/>
  <c r="I539" i="22" s="1"/>
  <c r="G535" i="22"/>
  <c r="I535" i="22" s="1"/>
  <c r="G531" i="22"/>
  <c r="I531" i="22" s="1"/>
  <c r="G527" i="22"/>
  <c r="I527" i="22" s="1"/>
  <c r="G523" i="22"/>
  <c r="I523" i="22" s="1"/>
  <c r="G519" i="22"/>
  <c r="I519" i="22" s="1"/>
  <c r="G515" i="22"/>
  <c r="I515" i="22" s="1"/>
  <c r="G511" i="22"/>
  <c r="I511" i="22" s="1"/>
  <c r="G507" i="22"/>
  <c r="I507" i="22" s="1"/>
  <c r="G503" i="22"/>
  <c r="I503" i="22" s="1"/>
  <c r="G499" i="22"/>
  <c r="I499" i="22" s="1"/>
  <c r="G495" i="22"/>
  <c r="I495" i="22" s="1"/>
  <c r="G491" i="22"/>
  <c r="I491" i="22" s="1"/>
  <c r="G487" i="22"/>
  <c r="I487" i="22" s="1"/>
  <c r="G483" i="22"/>
  <c r="I483" i="22" s="1"/>
  <c r="G479" i="22"/>
  <c r="I479" i="22" s="1"/>
  <c r="G475" i="22"/>
  <c r="I475" i="22" s="1"/>
  <c r="G471" i="22"/>
  <c r="I471" i="22" s="1"/>
  <c r="G467" i="22"/>
  <c r="I467" i="22" s="1"/>
  <c r="G463" i="22"/>
  <c r="I463" i="22" s="1"/>
  <c r="G459" i="22"/>
  <c r="I459" i="22" s="1"/>
  <c r="G455" i="22"/>
  <c r="I455" i="22" s="1"/>
  <c r="G451" i="22"/>
  <c r="I451" i="22" s="1"/>
  <c r="G447" i="22"/>
  <c r="I447" i="22" s="1"/>
  <c r="G443" i="22"/>
  <c r="I443" i="22" s="1"/>
  <c r="G439" i="22"/>
  <c r="I439" i="22" s="1"/>
  <c r="G435" i="22"/>
  <c r="I435" i="22" s="1"/>
  <c r="G431" i="22"/>
  <c r="I431" i="22" s="1"/>
  <c r="G427" i="22"/>
  <c r="I427" i="22" s="1"/>
  <c r="G423" i="22"/>
  <c r="I423" i="22" s="1"/>
  <c r="G419" i="22"/>
  <c r="I419" i="22" s="1"/>
  <c r="G417" i="22"/>
  <c r="I417" i="22" s="1"/>
  <c r="G414" i="22"/>
  <c r="I414" i="22" s="1"/>
  <c r="G411" i="22"/>
  <c r="I411" i="22" s="1"/>
  <c r="G409" i="22"/>
  <c r="I409" i="22" s="1"/>
  <c r="G406" i="22"/>
  <c r="I406" i="22" s="1"/>
  <c r="G403" i="22"/>
  <c r="I403" i="22" s="1"/>
  <c r="G401" i="22"/>
  <c r="I401" i="22" s="1"/>
  <c r="G398" i="22"/>
  <c r="I398" i="22" s="1"/>
  <c r="G395" i="22"/>
  <c r="I395" i="22" s="1"/>
  <c r="G393" i="22"/>
  <c r="I393" i="22" s="1"/>
  <c r="G390" i="22"/>
  <c r="I390" i="22" s="1"/>
  <c r="G387" i="22"/>
  <c r="I387" i="22" s="1"/>
  <c r="G385" i="22"/>
  <c r="I385" i="22" s="1"/>
  <c r="G382" i="22"/>
  <c r="I382" i="22" s="1"/>
  <c r="G379" i="22"/>
  <c r="I379" i="22" s="1"/>
  <c r="G377" i="22"/>
  <c r="I377" i="22" s="1"/>
  <c r="G374" i="22"/>
  <c r="I374" i="22" s="1"/>
  <c r="G371" i="22"/>
  <c r="I371" i="22" s="1"/>
  <c r="G369" i="22"/>
  <c r="I369" i="22" s="1"/>
  <c r="G366" i="22"/>
  <c r="I366" i="22" s="1"/>
  <c r="G363" i="22"/>
  <c r="I363" i="22" s="1"/>
  <c r="G361" i="22"/>
  <c r="I361" i="22" s="1"/>
  <c r="G358" i="22"/>
  <c r="I358" i="22" s="1"/>
  <c r="G355" i="22"/>
  <c r="I355" i="22" s="1"/>
  <c r="G354" i="22"/>
  <c r="I354" i="22" s="1"/>
  <c r="G353" i="22"/>
  <c r="I353" i="22" s="1"/>
  <c r="G352" i="22"/>
  <c r="I352" i="22" s="1"/>
  <c r="G351" i="22"/>
  <c r="I351" i="22" s="1"/>
  <c r="G350" i="22"/>
  <c r="I350" i="22" s="1"/>
  <c r="G349" i="22"/>
  <c r="I349" i="22" s="1"/>
  <c r="G348" i="22"/>
  <c r="I348" i="22" s="1"/>
  <c r="G347" i="22"/>
  <c r="I347" i="22" s="1"/>
  <c r="G346" i="22"/>
  <c r="I346" i="22" s="1"/>
  <c r="G345" i="22"/>
  <c r="I345" i="22" s="1"/>
  <c r="G344" i="22"/>
  <c r="I344" i="22" s="1"/>
  <c r="G343" i="22"/>
  <c r="I343" i="22" s="1"/>
  <c r="G342" i="22"/>
  <c r="I342" i="22" s="1"/>
  <c r="G341" i="22"/>
  <c r="I341" i="22" s="1"/>
  <c r="G340" i="22"/>
  <c r="I340" i="22" s="1"/>
  <c r="G339" i="22"/>
  <c r="I339" i="22" s="1"/>
  <c r="G338" i="22"/>
  <c r="I338" i="22" s="1"/>
  <c r="G337" i="22"/>
  <c r="I337" i="22" s="1"/>
  <c r="G336" i="22"/>
  <c r="I336" i="22" s="1"/>
  <c r="G335" i="22"/>
  <c r="I335" i="22" s="1"/>
  <c r="G334" i="22"/>
  <c r="I334" i="22" s="1"/>
  <c r="G333" i="22"/>
  <c r="I333" i="22" s="1"/>
  <c r="G332" i="22"/>
  <c r="I332" i="22" s="1"/>
  <c r="G331" i="22"/>
  <c r="I331" i="22" s="1"/>
  <c r="G330" i="22"/>
  <c r="I330" i="22" s="1"/>
  <c r="G329" i="22"/>
  <c r="I329" i="22" s="1"/>
  <c r="G1176" i="22"/>
  <c r="I1176" i="22" s="1"/>
  <c r="G1168" i="22"/>
  <c r="I1168" i="22" s="1"/>
  <c r="G1160" i="22"/>
  <c r="I1160" i="22" s="1"/>
  <c r="G1152" i="22"/>
  <c r="I1152" i="22" s="1"/>
  <c r="G1144" i="22"/>
  <c r="I1144" i="22" s="1"/>
  <c r="G1136" i="22"/>
  <c r="I1136" i="22" s="1"/>
  <c r="G1128" i="22"/>
  <c r="I1128" i="22" s="1"/>
  <c r="G1120" i="22"/>
  <c r="I1120" i="22" s="1"/>
  <c r="G1112" i="22"/>
  <c r="I1112" i="22" s="1"/>
  <c r="G1104" i="22"/>
  <c r="I1104" i="22" s="1"/>
  <c r="G1096" i="22"/>
  <c r="I1096" i="22" s="1"/>
  <c r="G1088" i="22"/>
  <c r="I1088" i="22" s="1"/>
  <c r="G1080" i="22"/>
  <c r="I1080" i="22" s="1"/>
  <c r="G1072" i="22"/>
  <c r="I1072" i="22" s="1"/>
  <c r="G1064" i="22"/>
  <c r="I1064" i="22" s="1"/>
  <c r="G1056" i="22"/>
  <c r="I1056" i="22" s="1"/>
  <c r="G1048" i="22"/>
  <c r="I1048" i="22" s="1"/>
  <c r="G1040" i="22"/>
  <c r="I1040" i="22" s="1"/>
  <c r="G1032" i="22"/>
  <c r="I1032" i="22" s="1"/>
  <c r="G1024" i="22"/>
  <c r="I1024" i="22" s="1"/>
  <c r="G1016" i="22"/>
  <c r="I1016" i="22" s="1"/>
  <c r="G1008" i="22"/>
  <c r="I1008" i="22" s="1"/>
  <c r="G1000" i="22"/>
  <c r="I1000" i="22" s="1"/>
  <c r="G992" i="22"/>
  <c r="I992" i="22" s="1"/>
  <c r="G984" i="22"/>
  <c r="I984" i="22" s="1"/>
  <c r="G976" i="22"/>
  <c r="I976" i="22" s="1"/>
  <c r="G968" i="22"/>
  <c r="I968" i="22" s="1"/>
  <c r="G960" i="22"/>
  <c r="I960" i="22" s="1"/>
  <c r="G952" i="22"/>
  <c r="I952" i="22" s="1"/>
  <c r="G944" i="22"/>
  <c r="I944" i="22" s="1"/>
  <c r="G936" i="22"/>
  <c r="I936" i="22" s="1"/>
  <c r="G928" i="22"/>
  <c r="I928" i="22" s="1"/>
  <c r="G920" i="22"/>
  <c r="I920" i="22" s="1"/>
  <c r="G912" i="22"/>
  <c r="I912" i="22" s="1"/>
  <c r="G904" i="22"/>
  <c r="I904" i="22" s="1"/>
  <c r="G896" i="22"/>
  <c r="I896" i="22" s="1"/>
  <c r="G1174" i="22"/>
  <c r="I1174" i="22" s="1"/>
  <c r="G1166" i="22"/>
  <c r="I1166" i="22" s="1"/>
  <c r="G1158" i="22"/>
  <c r="I1158" i="22" s="1"/>
  <c r="G1150" i="22"/>
  <c r="I1150" i="22" s="1"/>
  <c r="G1142" i="22"/>
  <c r="I1142" i="22" s="1"/>
  <c r="G1134" i="22"/>
  <c r="I1134" i="22" s="1"/>
  <c r="G1126" i="22"/>
  <c r="I1126" i="22" s="1"/>
  <c r="G1118" i="22"/>
  <c r="I1118" i="22" s="1"/>
  <c r="G1110" i="22"/>
  <c r="I1110" i="22" s="1"/>
  <c r="G1102" i="22"/>
  <c r="I1102" i="22" s="1"/>
  <c r="G1094" i="22"/>
  <c r="I1094" i="22" s="1"/>
  <c r="G1086" i="22"/>
  <c r="I1086" i="22" s="1"/>
  <c r="G1078" i="22"/>
  <c r="I1078" i="22" s="1"/>
  <c r="G1070" i="22"/>
  <c r="I1070" i="22" s="1"/>
  <c r="G1062" i="22"/>
  <c r="I1062" i="22" s="1"/>
  <c r="G1054" i="22"/>
  <c r="I1054" i="22" s="1"/>
  <c r="G1046" i="22"/>
  <c r="I1046" i="22" s="1"/>
  <c r="G1038" i="22"/>
  <c r="I1038" i="22" s="1"/>
  <c r="G1030" i="22"/>
  <c r="I1030" i="22" s="1"/>
  <c r="G1022" i="22"/>
  <c r="I1022" i="22" s="1"/>
  <c r="G1014" i="22"/>
  <c r="I1014" i="22" s="1"/>
  <c r="G1006" i="22"/>
  <c r="I1006" i="22" s="1"/>
  <c r="G998" i="22"/>
  <c r="I998" i="22" s="1"/>
  <c r="G990" i="22"/>
  <c r="I990" i="22" s="1"/>
  <c r="G982" i="22"/>
  <c r="I982" i="22" s="1"/>
  <c r="G974" i="22"/>
  <c r="I974" i="22" s="1"/>
  <c r="G966" i="22"/>
  <c r="I966" i="22" s="1"/>
  <c r="G958" i="22"/>
  <c r="I958" i="22" s="1"/>
  <c r="G950" i="22"/>
  <c r="I950" i="22" s="1"/>
  <c r="G942" i="22"/>
  <c r="I942" i="22" s="1"/>
  <c r="G934" i="22"/>
  <c r="I934" i="22" s="1"/>
  <c r="G926" i="22"/>
  <c r="I926" i="22" s="1"/>
  <c r="G918" i="22"/>
  <c r="I918" i="22" s="1"/>
  <c r="G910" i="22"/>
  <c r="I910" i="22" s="1"/>
  <c r="G902" i="22"/>
  <c r="I902" i="22" s="1"/>
  <c r="G894" i="22"/>
  <c r="I894" i="22" s="1"/>
  <c r="G886" i="22"/>
  <c r="I886" i="22" s="1"/>
  <c r="G878" i="22"/>
  <c r="I878" i="22" s="1"/>
  <c r="G870" i="22"/>
  <c r="I870" i="22" s="1"/>
  <c r="G862" i="22"/>
  <c r="I862" i="22" s="1"/>
  <c r="G854" i="22"/>
  <c r="I854" i="22" s="1"/>
  <c r="G846" i="22"/>
  <c r="I846" i="22" s="1"/>
  <c r="G838" i="22"/>
  <c r="I838" i="22" s="1"/>
  <c r="G830" i="22"/>
  <c r="I830" i="22" s="1"/>
  <c r="G822" i="22"/>
  <c r="I822" i="22" s="1"/>
  <c r="G814" i="22"/>
  <c r="I814" i="22" s="1"/>
  <c r="G806" i="22"/>
  <c r="I806" i="22" s="1"/>
  <c r="G798" i="22"/>
  <c r="I798" i="22" s="1"/>
  <c r="G790" i="22"/>
  <c r="I790" i="22" s="1"/>
  <c r="G782" i="22"/>
  <c r="I782" i="22" s="1"/>
  <c r="G774" i="22"/>
  <c r="I774" i="22" s="1"/>
  <c r="G766" i="22"/>
  <c r="I766" i="22" s="1"/>
  <c r="G758" i="22"/>
  <c r="I758" i="22" s="1"/>
  <c r="G750" i="22"/>
  <c r="I750" i="22" s="1"/>
  <c r="G742" i="22"/>
  <c r="I742" i="22" s="1"/>
  <c r="G734" i="22"/>
  <c r="I734" i="22" s="1"/>
  <c r="G726" i="22"/>
  <c r="I726" i="22" s="1"/>
  <c r="G718" i="22"/>
  <c r="I718" i="22" s="1"/>
  <c r="G710" i="22"/>
  <c r="I710" i="22" s="1"/>
  <c r="G702" i="22"/>
  <c r="I702" i="22" s="1"/>
  <c r="G694" i="22"/>
  <c r="I694" i="22" s="1"/>
  <c r="G686" i="22"/>
  <c r="I686" i="22" s="1"/>
  <c r="G678" i="22"/>
  <c r="I678" i="22" s="1"/>
  <c r="G670" i="22"/>
  <c r="I670" i="22" s="1"/>
  <c r="G662" i="22"/>
  <c r="I662" i="22" s="1"/>
  <c r="G654" i="22"/>
  <c r="I654" i="22" s="1"/>
  <c r="G646" i="22"/>
  <c r="I646" i="22" s="1"/>
  <c r="G638" i="22"/>
  <c r="I638" i="22" s="1"/>
  <c r="G630" i="22"/>
  <c r="I630" i="22" s="1"/>
  <c r="G622" i="22"/>
  <c r="I622" i="22" s="1"/>
  <c r="G614" i="22"/>
  <c r="I614" i="22" s="1"/>
  <c r="G606" i="22"/>
  <c r="I606" i="22" s="1"/>
  <c r="G598" i="22"/>
  <c r="I598" i="22" s="1"/>
  <c r="G590" i="22"/>
  <c r="I590" i="22" s="1"/>
  <c r="G581" i="22"/>
  <c r="I581" i="22" s="1"/>
  <c r="G577" i="22"/>
  <c r="I577" i="22" s="1"/>
  <c r="G573" i="22"/>
  <c r="I573" i="22" s="1"/>
  <c r="G569" i="22"/>
  <c r="I569" i="22" s="1"/>
  <c r="G565" i="22"/>
  <c r="I565" i="22" s="1"/>
  <c r="G561" i="22"/>
  <c r="I561" i="22" s="1"/>
  <c r="G557" i="22"/>
  <c r="I557" i="22" s="1"/>
  <c r="G553" i="22"/>
  <c r="I553" i="22" s="1"/>
  <c r="G549" i="22"/>
  <c r="I549" i="22" s="1"/>
  <c r="G545" i="22"/>
  <c r="I545" i="22" s="1"/>
  <c r="G541" i="22"/>
  <c r="I541" i="22" s="1"/>
  <c r="G537" i="22"/>
  <c r="I537" i="22" s="1"/>
  <c r="G533" i="22"/>
  <c r="I533" i="22" s="1"/>
  <c r="G529" i="22"/>
  <c r="I529" i="22" s="1"/>
  <c r="G525" i="22"/>
  <c r="I525" i="22" s="1"/>
  <c r="G521" i="22"/>
  <c r="I521" i="22" s="1"/>
  <c r="G517" i="22"/>
  <c r="I517" i="22" s="1"/>
  <c r="G513" i="22"/>
  <c r="I513" i="22" s="1"/>
  <c r="G509" i="22"/>
  <c r="I509" i="22" s="1"/>
  <c r="G505" i="22"/>
  <c r="I505" i="22" s="1"/>
  <c r="G501" i="22"/>
  <c r="I501" i="22" s="1"/>
  <c r="G497" i="22"/>
  <c r="I497" i="22" s="1"/>
  <c r="G493" i="22"/>
  <c r="I493" i="22" s="1"/>
  <c r="G489" i="22"/>
  <c r="I489" i="22" s="1"/>
  <c r="G485" i="22"/>
  <c r="I485" i="22" s="1"/>
  <c r="G481" i="22"/>
  <c r="I481" i="22" s="1"/>
  <c r="G477" i="22"/>
  <c r="I477" i="22" s="1"/>
  <c r="G473" i="22"/>
  <c r="I473" i="22" s="1"/>
  <c r="G469" i="22"/>
  <c r="I469" i="22" s="1"/>
  <c r="G465" i="22"/>
  <c r="I465" i="22" s="1"/>
  <c r="G461" i="22"/>
  <c r="I461" i="22" s="1"/>
  <c r="G457" i="22"/>
  <c r="I457" i="22" s="1"/>
  <c r="G453" i="22"/>
  <c r="I453" i="22" s="1"/>
  <c r="G449" i="22"/>
  <c r="I449" i="22" s="1"/>
  <c r="G445" i="22"/>
  <c r="I445" i="22" s="1"/>
  <c r="G441" i="22"/>
  <c r="I441" i="22" s="1"/>
  <c r="G437" i="22"/>
  <c r="I437" i="22" s="1"/>
  <c r="G433" i="22"/>
  <c r="I433" i="22" s="1"/>
  <c r="G429" i="22"/>
  <c r="I429" i="22" s="1"/>
  <c r="G425" i="22"/>
  <c r="I425" i="22" s="1"/>
  <c r="G421" i="22"/>
  <c r="I421" i="22" s="1"/>
  <c r="G418" i="22"/>
  <c r="I418" i="22" s="1"/>
  <c r="G415" i="22"/>
  <c r="I415" i="22" s="1"/>
  <c r="G413" i="22"/>
  <c r="I413" i="22" s="1"/>
  <c r="G410" i="22"/>
  <c r="I410" i="22" s="1"/>
  <c r="G407" i="22"/>
  <c r="I407" i="22" s="1"/>
  <c r="G405" i="22"/>
  <c r="I405" i="22" s="1"/>
  <c r="G402" i="22"/>
  <c r="I402" i="22" s="1"/>
  <c r="G399" i="22"/>
  <c r="I399" i="22" s="1"/>
  <c r="G397" i="22"/>
  <c r="I397" i="22" s="1"/>
  <c r="G394" i="22"/>
  <c r="I394" i="22" s="1"/>
  <c r="G391" i="22"/>
  <c r="I391" i="22" s="1"/>
  <c r="G389" i="22"/>
  <c r="I389" i="22" s="1"/>
  <c r="G386" i="22"/>
  <c r="I386" i="22" s="1"/>
  <c r="G383" i="22"/>
  <c r="I383" i="22" s="1"/>
  <c r="G381" i="22"/>
  <c r="I381" i="22" s="1"/>
  <c r="G378" i="22"/>
  <c r="I378" i="22" s="1"/>
  <c r="G375" i="22"/>
  <c r="I375" i="22" s="1"/>
  <c r="G373" i="22"/>
  <c r="I373" i="22" s="1"/>
  <c r="G370" i="22"/>
  <c r="I370" i="22" s="1"/>
  <c r="G367" i="22"/>
  <c r="I367" i="22" s="1"/>
  <c r="G365" i="22"/>
  <c r="I365" i="22" s="1"/>
  <c r="G362" i="22"/>
  <c r="I362" i="22" s="1"/>
  <c r="G359" i="22"/>
  <c r="I359" i="22" s="1"/>
  <c r="G357" i="22"/>
  <c r="I357" i="22" s="1"/>
  <c r="G884" i="22"/>
  <c r="I884" i="22" s="1"/>
  <c r="G868" i="22"/>
  <c r="I868" i="22" s="1"/>
  <c r="G852" i="22"/>
  <c r="I852" i="22" s="1"/>
  <c r="G836" i="22"/>
  <c r="I836" i="22" s="1"/>
  <c r="G820" i="22"/>
  <c r="I820" i="22" s="1"/>
  <c r="G804" i="22"/>
  <c r="I804" i="22" s="1"/>
  <c r="G788" i="22"/>
  <c r="I788" i="22" s="1"/>
  <c r="G772" i="22"/>
  <c r="I772" i="22" s="1"/>
  <c r="G756" i="22"/>
  <c r="I756" i="22" s="1"/>
  <c r="G740" i="22"/>
  <c r="I740" i="22" s="1"/>
  <c r="G724" i="22"/>
  <c r="I724" i="22" s="1"/>
  <c r="G708" i="22"/>
  <c r="I708" i="22" s="1"/>
  <c r="G692" i="22"/>
  <c r="I692" i="22" s="1"/>
  <c r="G676" i="22"/>
  <c r="I676" i="22" s="1"/>
  <c r="G660" i="22"/>
  <c r="I660" i="22" s="1"/>
  <c r="G644" i="22"/>
  <c r="I644" i="22" s="1"/>
  <c r="G628" i="22"/>
  <c r="I628" i="22" s="1"/>
  <c r="G612" i="22"/>
  <c r="I612" i="22" s="1"/>
  <c r="G596" i="22"/>
  <c r="I596" i="22" s="1"/>
  <c r="G582" i="22"/>
  <c r="I582" i="22" s="1"/>
  <c r="G574" i="22"/>
  <c r="I574" i="22" s="1"/>
  <c r="G566" i="22"/>
  <c r="I566" i="22" s="1"/>
  <c r="G558" i="22"/>
  <c r="I558" i="22" s="1"/>
  <c r="G550" i="22"/>
  <c r="I550" i="22" s="1"/>
  <c r="G542" i="22"/>
  <c r="I542" i="22" s="1"/>
  <c r="G534" i="22"/>
  <c r="I534" i="22" s="1"/>
  <c r="G526" i="22"/>
  <c r="I526" i="22" s="1"/>
  <c r="G518" i="22"/>
  <c r="I518" i="22" s="1"/>
  <c r="G510" i="22"/>
  <c r="I510" i="22" s="1"/>
  <c r="G502" i="22"/>
  <c r="I502" i="22" s="1"/>
  <c r="G494" i="22"/>
  <c r="I494" i="22" s="1"/>
  <c r="G486" i="22"/>
  <c r="I486" i="22" s="1"/>
  <c r="G478" i="22"/>
  <c r="I478" i="22" s="1"/>
  <c r="G470" i="22"/>
  <c r="I470" i="22" s="1"/>
  <c r="G462" i="22"/>
  <c r="I462" i="22" s="1"/>
  <c r="G454" i="22"/>
  <c r="I454" i="22" s="1"/>
  <c r="G446" i="22"/>
  <c r="I446" i="22" s="1"/>
  <c r="G438" i="22"/>
  <c r="I438" i="22" s="1"/>
  <c r="G430" i="22"/>
  <c r="I430" i="22" s="1"/>
  <c r="G422" i="22"/>
  <c r="I422" i="22" s="1"/>
  <c r="G276" i="22"/>
  <c r="I276" i="22" s="1"/>
  <c r="G268" i="22"/>
  <c r="I268" i="22" s="1"/>
  <c r="G260" i="22"/>
  <c r="I260" i="22" s="1"/>
  <c r="G252" i="22"/>
  <c r="I252" i="22" s="1"/>
  <c r="G228" i="22"/>
  <c r="I228" i="22" s="1"/>
  <c r="G220" i="22"/>
  <c r="I220" i="22" s="1"/>
  <c r="G204" i="22"/>
  <c r="I204" i="22" s="1"/>
  <c r="G200" i="22"/>
  <c r="I200" i="22" s="1"/>
  <c r="G196" i="22"/>
  <c r="I196" i="22" s="1"/>
  <c r="G192" i="22"/>
  <c r="I192" i="22" s="1"/>
  <c r="G188" i="22"/>
  <c r="I188" i="22" s="1"/>
  <c r="G185" i="22"/>
  <c r="I185" i="22" s="1"/>
  <c r="G183" i="22"/>
  <c r="I183" i="22" s="1"/>
  <c r="G180" i="22"/>
  <c r="I180" i="22" s="1"/>
  <c r="G177" i="22"/>
  <c r="I177" i="22" s="1"/>
  <c r="G175" i="22"/>
  <c r="I175" i="22" s="1"/>
  <c r="G172" i="22"/>
  <c r="I172" i="22" s="1"/>
  <c r="G168" i="22"/>
  <c r="I168" i="22" s="1"/>
  <c r="G165" i="22"/>
  <c r="I165" i="22" s="1"/>
  <c r="G163" i="22"/>
  <c r="I163" i="22" s="1"/>
  <c r="G161" i="22"/>
  <c r="I161" i="22" s="1"/>
  <c r="G159" i="22"/>
  <c r="I159" i="22" s="1"/>
  <c r="G156" i="22"/>
  <c r="I156" i="22" s="1"/>
  <c r="G154" i="22"/>
  <c r="I154" i="22" s="1"/>
  <c r="G152" i="22"/>
  <c r="I152" i="22" s="1"/>
  <c r="G149" i="22"/>
  <c r="I149" i="22" s="1"/>
  <c r="G147" i="22"/>
  <c r="I147" i="22" s="1"/>
  <c r="G144" i="22"/>
  <c r="I144" i="22" s="1"/>
  <c r="G142" i="22"/>
  <c r="I142" i="22" s="1"/>
  <c r="G139" i="22"/>
  <c r="I139" i="22" s="1"/>
  <c r="G137" i="22"/>
  <c r="I137" i="22" s="1"/>
  <c r="G135" i="22"/>
  <c r="I135" i="22" s="1"/>
  <c r="G133" i="22"/>
  <c r="I133" i="22" s="1"/>
  <c r="G131" i="22"/>
  <c r="I131" i="22" s="1"/>
  <c r="G129" i="22"/>
  <c r="I129" i="22" s="1"/>
  <c r="G127" i="22"/>
  <c r="I127" i="22" s="1"/>
  <c r="G125" i="22"/>
  <c r="I125" i="22" s="1"/>
  <c r="G123" i="22"/>
  <c r="I123" i="22" s="1"/>
  <c r="G120" i="22"/>
  <c r="I120" i="22" s="1"/>
  <c r="G118" i="22"/>
  <c r="I118" i="22" s="1"/>
  <c r="G116" i="22"/>
  <c r="I116" i="22" s="1"/>
  <c r="G113" i="22"/>
  <c r="I113" i="22" s="1"/>
  <c r="G111" i="22"/>
  <c r="I111" i="22" s="1"/>
  <c r="G109" i="22"/>
  <c r="I109" i="22" s="1"/>
  <c r="G107" i="22"/>
  <c r="I107" i="22" s="1"/>
  <c r="G105" i="22"/>
  <c r="I105" i="22" s="1"/>
  <c r="G103" i="22"/>
  <c r="I103" i="22" s="1"/>
  <c r="G101" i="22"/>
  <c r="I101" i="22" s="1"/>
  <c r="G880" i="22"/>
  <c r="I880" i="22" s="1"/>
  <c r="G864" i="22"/>
  <c r="I864" i="22" s="1"/>
  <c r="G848" i="22"/>
  <c r="I848" i="22" s="1"/>
  <c r="G832" i="22"/>
  <c r="I832" i="22" s="1"/>
  <c r="G816" i="22"/>
  <c r="I816" i="22" s="1"/>
  <c r="G800" i="22"/>
  <c r="I800" i="22" s="1"/>
  <c r="G784" i="22"/>
  <c r="I784" i="22" s="1"/>
  <c r="G768" i="22"/>
  <c r="I768" i="22" s="1"/>
  <c r="G752" i="22"/>
  <c r="I752" i="22" s="1"/>
  <c r="G736" i="22"/>
  <c r="I736" i="22" s="1"/>
  <c r="G720" i="22"/>
  <c r="I720" i="22" s="1"/>
  <c r="G704" i="22"/>
  <c r="I704" i="22" s="1"/>
  <c r="G688" i="22"/>
  <c r="I688" i="22" s="1"/>
  <c r="G672" i="22"/>
  <c r="I672" i="22" s="1"/>
  <c r="G656" i="22"/>
  <c r="I656" i="22" s="1"/>
  <c r="G640" i="22"/>
  <c r="I640" i="22" s="1"/>
  <c r="G624" i="22"/>
  <c r="I624" i="22" s="1"/>
  <c r="G608" i="22"/>
  <c r="I608" i="22" s="1"/>
  <c r="G592" i="22"/>
  <c r="I592" i="22" s="1"/>
  <c r="G580" i="22"/>
  <c r="I580" i="22" s="1"/>
  <c r="G572" i="22"/>
  <c r="I572" i="22" s="1"/>
  <c r="G564" i="22"/>
  <c r="I564" i="22" s="1"/>
  <c r="G556" i="22"/>
  <c r="I556" i="22" s="1"/>
  <c r="G548" i="22"/>
  <c r="I548" i="22" s="1"/>
  <c r="G540" i="22"/>
  <c r="I540" i="22" s="1"/>
  <c r="G532" i="22"/>
  <c r="I532" i="22" s="1"/>
  <c r="G524" i="22"/>
  <c r="I524" i="22" s="1"/>
  <c r="G516" i="22"/>
  <c r="I516" i="22" s="1"/>
  <c r="G508" i="22"/>
  <c r="I508" i="22" s="1"/>
  <c r="G500" i="22"/>
  <c r="I500" i="22" s="1"/>
  <c r="G492" i="22"/>
  <c r="I492" i="22" s="1"/>
  <c r="G484" i="22"/>
  <c r="I484" i="22" s="1"/>
  <c r="G476" i="22"/>
  <c r="I476" i="22" s="1"/>
  <c r="G468" i="22"/>
  <c r="I468" i="22" s="1"/>
  <c r="G460" i="22"/>
  <c r="I460" i="22" s="1"/>
  <c r="G452" i="22"/>
  <c r="I452" i="22" s="1"/>
  <c r="G444" i="22"/>
  <c r="I444" i="22" s="1"/>
  <c r="G436" i="22"/>
  <c r="I436" i="22" s="1"/>
  <c r="G428" i="22"/>
  <c r="I428" i="22" s="1"/>
  <c r="G420" i="22"/>
  <c r="I420" i="22" s="1"/>
  <c r="G412" i="22"/>
  <c r="I412" i="22" s="1"/>
  <c r="G404" i="22"/>
  <c r="I404" i="22" s="1"/>
  <c r="G396" i="22"/>
  <c r="I396" i="22" s="1"/>
  <c r="G388" i="22"/>
  <c r="I388" i="22" s="1"/>
  <c r="G380" i="22"/>
  <c r="I380" i="22" s="1"/>
  <c r="G372" i="22"/>
  <c r="I372" i="22" s="1"/>
  <c r="G364" i="22"/>
  <c r="I364" i="22" s="1"/>
  <c r="G356" i="22"/>
  <c r="I356" i="22" s="1"/>
  <c r="G290" i="22"/>
  <c r="I290" i="22" s="1"/>
  <c r="G287" i="22"/>
  <c r="I287" i="22" s="1"/>
  <c r="G285" i="22"/>
  <c r="I285" i="22" s="1"/>
  <c r="G282" i="22"/>
  <c r="I282" i="22" s="1"/>
  <c r="G279" i="22"/>
  <c r="I279" i="22" s="1"/>
  <c r="G277" i="22"/>
  <c r="I277" i="22" s="1"/>
  <c r="G274" i="22"/>
  <c r="I274" i="22" s="1"/>
  <c r="G271" i="22"/>
  <c r="I271" i="22" s="1"/>
  <c r="G269" i="22"/>
  <c r="I269" i="22" s="1"/>
  <c r="G266" i="22"/>
  <c r="I266" i="22" s="1"/>
  <c r="G263" i="22"/>
  <c r="I263" i="22" s="1"/>
  <c r="G261" i="22"/>
  <c r="I261" i="22" s="1"/>
  <c r="G258" i="22"/>
  <c r="I258" i="22" s="1"/>
  <c r="G255" i="22"/>
  <c r="I255" i="22" s="1"/>
  <c r="G253" i="22"/>
  <c r="I253" i="22" s="1"/>
  <c r="G250" i="22"/>
  <c r="I250" i="22" s="1"/>
  <c r="G247" i="22"/>
  <c r="I247" i="22" s="1"/>
  <c r="G245" i="22"/>
  <c r="I245" i="22" s="1"/>
  <c r="G242" i="22"/>
  <c r="I242" i="22" s="1"/>
  <c r="G239" i="22"/>
  <c r="I239" i="22" s="1"/>
  <c r="G237" i="22"/>
  <c r="I237" i="22" s="1"/>
  <c r="G234" i="22"/>
  <c r="I234" i="22" s="1"/>
  <c r="G231" i="22"/>
  <c r="I231" i="22" s="1"/>
  <c r="G229" i="22"/>
  <c r="I229" i="22" s="1"/>
  <c r="G226" i="22"/>
  <c r="I226" i="22" s="1"/>
  <c r="G223" i="22"/>
  <c r="I223" i="22" s="1"/>
  <c r="G221" i="22"/>
  <c r="I221" i="22" s="1"/>
  <c r="G218" i="22"/>
  <c r="I218" i="22" s="1"/>
  <c r="G215" i="22"/>
  <c r="I215" i="22" s="1"/>
  <c r="G213" i="22"/>
  <c r="I213" i="22" s="1"/>
  <c r="G32" i="22"/>
  <c r="I32" i="22" s="1"/>
  <c r="G31" i="22"/>
  <c r="I31" i="22" s="1"/>
  <c r="G30" i="22"/>
  <c r="I30" i="22" s="1"/>
  <c r="G24" i="22"/>
  <c r="I24" i="22" s="1"/>
  <c r="G23" i="22"/>
  <c r="I23" i="22" s="1"/>
  <c r="G22" i="22"/>
  <c r="I22" i="22" s="1"/>
  <c r="G16" i="22"/>
  <c r="I16" i="22" s="1"/>
  <c r="G8" i="22"/>
  <c r="I8" i="22" s="1"/>
  <c r="G4" i="22"/>
  <c r="I4" i="22" s="1"/>
  <c r="G280" i="22"/>
  <c r="I280" i="22" s="1"/>
  <c r="G264" i="22"/>
  <c r="I264" i="22" s="1"/>
  <c r="G240" i="22"/>
  <c r="I240" i="22" s="1"/>
  <c r="G224" i="22"/>
  <c r="I224" i="22" s="1"/>
  <c r="G216" i="22"/>
  <c r="I216" i="22" s="1"/>
  <c r="G876" i="22"/>
  <c r="I876" i="22" s="1"/>
  <c r="G860" i="22"/>
  <c r="I860" i="22" s="1"/>
  <c r="G844" i="22"/>
  <c r="I844" i="22" s="1"/>
  <c r="G828" i="22"/>
  <c r="I828" i="22" s="1"/>
  <c r="G812" i="22"/>
  <c r="I812" i="22" s="1"/>
  <c r="G796" i="22"/>
  <c r="I796" i="22" s="1"/>
  <c r="G780" i="22"/>
  <c r="I780" i="22" s="1"/>
  <c r="G764" i="22"/>
  <c r="I764" i="22" s="1"/>
  <c r="G748" i="22"/>
  <c r="I748" i="22" s="1"/>
  <c r="G732" i="22"/>
  <c r="I732" i="22" s="1"/>
  <c r="G716" i="22"/>
  <c r="I716" i="22" s="1"/>
  <c r="G700" i="22"/>
  <c r="I700" i="22" s="1"/>
  <c r="G684" i="22"/>
  <c r="I684" i="22" s="1"/>
  <c r="G668" i="22"/>
  <c r="I668" i="22" s="1"/>
  <c r="G652" i="22"/>
  <c r="I652" i="22" s="1"/>
  <c r="G636" i="22"/>
  <c r="I636" i="22" s="1"/>
  <c r="G620" i="22"/>
  <c r="I620" i="22" s="1"/>
  <c r="G604" i="22"/>
  <c r="I604" i="22" s="1"/>
  <c r="G588" i="22"/>
  <c r="I588" i="22" s="1"/>
  <c r="G578" i="22"/>
  <c r="I578" i="22" s="1"/>
  <c r="G570" i="22"/>
  <c r="I570" i="22" s="1"/>
  <c r="G562" i="22"/>
  <c r="I562" i="22" s="1"/>
  <c r="G554" i="22"/>
  <c r="I554" i="22" s="1"/>
  <c r="G546" i="22"/>
  <c r="I546" i="22" s="1"/>
  <c r="G538" i="22"/>
  <c r="I538" i="22" s="1"/>
  <c r="G530" i="22"/>
  <c r="I530" i="22" s="1"/>
  <c r="G522" i="22"/>
  <c r="I522" i="22" s="1"/>
  <c r="G514" i="22"/>
  <c r="I514" i="22" s="1"/>
  <c r="G506" i="22"/>
  <c r="I506" i="22" s="1"/>
  <c r="G498" i="22"/>
  <c r="I498" i="22" s="1"/>
  <c r="G490" i="22"/>
  <c r="I490" i="22" s="1"/>
  <c r="G482" i="22"/>
  <c r="I482" i="22" s="1"/>
  <c r="G474" i="22"/>
  <c r="I474" i="22" s="1"/>
  <c r="G466" i="22"/>
  <c r="I466" i="22" s="1"/>
  <c r="G458" i="22"/>
  <c r="I458" i="22" s="1"/>
  <c r="G450" i="22"/>
  <c r="I450" i="22" s="1"/>
  <c r="G442" i="22"/>
  <c r="I442" i="22" s="1"/>
  <c r="G434" i="22"/>
  <c r="I434" i="22" s="1"/>
  <c r="G426" i="22"/>
  <c r="I426" i="22" s="1"/>
  <c r="G288" i="22"/>
  <c r="I288" i="22" s="1"/>
  <c r="G272" i="22"/>
  <c r="I272" i="22" s="1"/>
  <c r="G256" i="22"/>
  <c r="I256" i="22" s="1"/>
  <c r="G248" i="22"/>
  <c r="I248" i="22" s="1"/>
  <c r="G232" i="22"/>
  <c r="I232" i="22" s="1"/>
  <c r="G888" i="22"/>
  <c r="I888" i="22" s="1"/>
  <c r="G872" i="22"/>
  <c r="I872" i="22" s="1"/>
  <c r="G856" i="22"/>
  <c r="I856" i="22" s="1"/>
  <c r="G840" i="22"/>
  <c r="I840" i="22" s="1"/>
  <c r="G824" i="22"/>
  <c r="I824" i="22" s="1"/>
  <c r="G808" i="22"/>
  <c r="I808" i="22" s="1"/>
  <c r="G792" i="22"/>
  <c r="I792" i="22" s="1"/>
  <c r="G776" i="22"/>
  <c r="I776" i="22" s="1"/>
  <c r="G760" i="22"/>
  <c r="I760" i="22" s="1"/>
  <c r="G744" i="22"/>
  <c r="I744" i="22" s="1"/>
  <c r="G728" i="22"/>
  <c r="I728" i="22" s="1"/>
  <c r="G712" i="22"/>
  <c r="I712" i="22" s="1"/>
  <c r="G696" i="22"/>
  <c r="I696" i="22" s="1"/>
  <c r="G680" i="22"/>
  <c r="I680" i="22" s="1"/>
  <c r="G664" i="22"/>
  <c r="I664" i="22" s="1"/>
  <c r="G648" i="22"/>
  <c r="I648" i="22" s="1"/>
  <c r="G632" i="22"/>
  <c r="I632" i="22" s="1"/>
  <c r="G616" i="22"/>
  <c r="I616" i="22" s="1"/>
  <c r="G600" i="22"/>
  <c r="I600" i="22" s="1"/>
  <c r="G584" i="22"/>
  <c r="I584" i="22" s="1"/>
  <c r="G576" i="22"/>
  <c r="I576" i="22" s="1"/>
  <c r="G568" i="22"/>
  <c r="I568" i="22" s="1"/>
  <c r="G560" i="22"/>
  <c r="I560" i="22" s="1"/>
  <c r="G552" i="22"/>
  <c r="I552" i="22" s="1"/>
  <c r="G544" i="22"/>
  <c r="I544" i="22" s="1"/>
  <c r="G536" i="22"/>
  <c r="I536" i="22" s="1"/>
  <c r="G528" i="22"/>
  <c r="I528" i="22" s="1"/>
  <c r="G520" i="22"/>
  <c r="I520" i="22" s="1"/>
  <c r="G512" i="22"/>
  <c r="I512" i="22" s="1"/>
  <c r="G504" i="22"/>
  <c r="I504" i="22" s="1"/>
  <c r="G496" i="22"/>
  <c r="I496" i="22" s="1"/>
  <c r="G488" i="22"/>
  <c r="I488" i="22" s="1"/>
  <c r="G480" i="22"/>
  <c r="I480" i="22" s="1"/>
  <c r="G472" i="22"/>
  <c r="I472" i="22" s="1"/>
  <c r="G464" i="22"/>
  <c r="I464" i="22" s="1"/>
  <c r="G456" i="22"/>
  <c r="I456" i="22" s="1"/>
  <c r="G448" i="22"/>
  <c r="I448" i="22" s="1"/>
  <c r="G440" i="22"/>
  <c r="I440" i="22" s="1"/>
  <c r="G432" i="22"/>
  <c r="I432" i="22" s="1"/>
  <c r="G424" i="22"/>
  <c r="I424" i="22" s="1"/>
  <c r="G416" i="22"/>
  <c r="I416" i="22" s="1"/>
  <c r="G408" i="22"/>
  <c r="I408" i="22" s="1"/>
  <c r="G400" i="22"/>
  <c r="I400" i="22" s="1"/>
  <c r="G392" i="22"/>
  <c r="I392" i="22" s="1"/>
  <c r="G384" i="22"/>
  <c r="I384" i="22" s="1"/>
  <c r="G376" i="22"/>
  <c r="I376" i="22" s="1"/>
  <c r="G368" i="22"/>
  <c r="I368" i="22" s="1"/>
  <c r="G360" i="22"/>
  <c r="I360" i="22" s="1"/>
  <c r="G328" i="22"/>
  <c r="I328" i="22" s="1"/>
  <c r="G327" i="22"/>
  <c r="I327" i="22" s="1"/>
  <c r="G326" i="22"/>
  <c r="I326" i="22" s="1"/>
  <c r="G325" i="22"/>
  <c r="I325" i="22" s="1"/>
  <c r="G324" i="22"/>
  <c r="I324" i="22" s="1"/>
  <c r="G323" i="22"/>
  <c r="I323" i="22" s="1"/>
  <c r="G322" i="22"/>
  <c r="I322" i="22" s="1"/>
  <c r="G321" i="22"/>
  <c r="I321" i="22" s="1"/>
  <c r="G320" i="22"/>
  <c r="I320" i="22" s="1"/>
  <c r="G319" i="22"/>
  <c r="I319" i="22" s="1"/>
  <c r="G318" i="22"/>
  <c r="I318" i="22" s="1"/>
  <c r="G317" i="22"/>
  <c r="I317" i="22" s="1"/>
  <c r="G316" i="22"/>
  <c r="I316" i="22" s="1"/>
  <c r="G315" i="22"/>
  <c r="I315" i="22" s="1"/>
  <c r="G314" i="22"/>
  <c r="I314" i="22" s="1"/>
  <c r="G313" i="22"/>
  <c r="I313" i="22" s="1"/>
  <c r="G312" i="22"/>
  <c r="I312" i="22" s="1"/>
  <c r="G311" i="22"/>
  <c r="I311" i="22" s="1"/>
  <c r="G310" i="22"/>
  <c r="I310" i="22" s="1"/>
  <c r="G309" i="22"/>
  <c r="I309" i="22" s="1"/>
  <c r="G308" i="22"/>
  <c r="I308" i="22" s="1"/>
  <c r="G307" i="22"/>
  <c r="I307" i="22" s="1"/>
  <c r="G306" i="22"/>
  <c r="I306" i="22" s="1"/>
  <c r="G305" i="22"/>
  <c r="I305" i="22" s="1"/>
  <c r="G304" i="22"/>
  <c r="I304" i="22" s="1"/>
  <c r="G303" i="22"/>
  <c r="I303" i="22" s="1"/>
  <c r="G302" i="22"/>
  <c r="I302" i="22" s="1"/>
  <c r="G301" i="22"/>
  <c r="I301" i="22" s="1"/>
  <c r="G300" i="22"/>
  <c r="I300" i="22" s="1"/>
  <c r="G299" i="22"/>
  <c r="I299" i="22" s="1"/>
  <c r="G298" i="22"/>
  <c r="I298" i="22" s="1"/>
  <c r="G297" i="22"/>
  <c r="I297" i="22" s="1"/>
  <c r="G296" i="22"/>
  <c r="I296" i="22" s="1"/>
  <c r="G295" i="22"/>
  <c r="I295" i="22" s="1"/>
  <c r="G294" i="22"/>
  <c r="I294" i="22" s="1"/>
  <c r="G293" i="22"/>
  <c r="I293" i="22" s="1"/>
  <c r="G292" i="22"/>
  <c r="I292" i="22" s="1"/>
  <c r="G291" i="22"/>
  <c r="I291" i="22" s="1"/>
  <c r="G289" i="22"/>
  <c r="I289" i="22" s="1"/>
  <c r="G286" i="22"/>
  <c r="I286" i="22" s="1"/>
  <c r="G283" i="22"/>
  <c r="I283" i="22" s="1"/>
  <c r="G281" i="22"/>
  <c r="I281" i="22" s="1"/>
  <c r="G278" i="22"/>
  <c r="I278" i="22" s="1"/>
  <c r="G275" i="22"/>
  <c r="I275" i="22" s="1"/>
  <c r="G273" i="22"/>
  <c r="I273" i="22" s="1"/>
  <c r="G270" i="22"/>
  <c r="I270" i="22" s="1"/>
  <c r="G267" i="22"/>
  <c r="I267" i="22" s="1"/>
  <c r="G265" i="22"/>
  <c r="I265" i="22" s="1"/>
  <c r="G262" i="22"/>
  <c r="I262" i="22" s="1"/>
  <c r="G259" i="22"/>
  <c r="I259" i="22" s="1"/>
  <c r="G257" i="22"/>
  <c r="I257" i="22" s="1"/>
  <c r="G254" i="22"/>
  <c r="I254" i="22" s="1"/>
  <c r="G251" i="22"/>
  <c r="I251" i="22" s="1"/>
  <c r="G249" i="22"/>
  <c r="I249" i="22" s="1"/>
  <c r="G246" i="22"/>
  <c r="I246" i="22" s="1"/>
  <c r="G243" i="22"/>
  <c r="I243" i="22" s="1"/>
  <c r="G241" i="22"/>
  <c r="I241" i="22" s="1"/>
  <c r="G238" i="22"/>
  <c r="I238" i="22" s="1"/>
  <c r="G235" i="22"/>
  <c r="I235" i="22" s="1"/>
  <c r="G233" i="22"/>
  <c r="I233" i="22" s="1"/>
  <c r="G230" i="22"/>
  <c r="I230" i="22" s="1"/>
  <c r="G227" i="22"/>
  <c r="I227" i="22" s="1"/>
  <c r="G225" i="22"/>
  <c r="I225" i="22" s="1"/>
  <c r="G222" i="22"/>
  <c r="I222" i="22" s="1"/>
  <c r="G219" i="22"/>
  <c r="I219" i="22" s="1"/>
  <c r="G217" i="22"/>
  <c r="I217" i="22" s="1"/>
  <c r="G214" i="22"/>
  <c r="I214" i="22" s="1"/>
  <c r="G210" i="22"/>
  <c r="I210" i="22" s="1"/>
  <c r="G206" i="22"/>
  <c r="I206" i="22" s="1"/>
  <c r="G202" i="22"/>
  <c r="I202" i="22" s="1"/>
  <c r="G198" i="22"/>
  <c r="I198" i="22" s="1"/>
  <c r="G194" i="22"/>
  <c r="I194" i="22" s="1"/>
  <c r="G190" i="22"/>
  <c r="I190" i="22" s="1"/>
  <c r="G186" i="22"/>
  <c r="I186" i="22" s="1"/>
  <c r="G182" i="22"/>
  <c r="I182" i="22" s="1"/>
  <c r="G178" i="22"/>
  <c r="I178" i="22" s="1"/>
  <c r="G174" i="22"/>
  <c r="I174" i="22" s="1"/>
  <c r="G170" i="22"/>
  <c r="I170" i="22" s="1"/>
  <c r="G166" i="22"/>
  <c r="I166" i="22" s="1"/>
  <c r="G34" i="22"/>
  <c r="I34" i="22" s="1"/>
  <c r="G28" i="22"/>
  <c r="I28" i="22" s="1"/>
  <c r="G27" i="22"/>
  <c r="I27" i="22" s="1"/>
  <c r="G26" i="22"/>
  <c r="I26" i="22" s="1"/>
  <c r="G20" i="22"/>
  <c r="I20" i="22" s="1"/>
  <c r="G19" i="22"/>
  <c r="I19" i="22" s="1"/>
  <c r="G18" i="22"/>
  <c r="I18" i="22" s="1"/>
  <c r="G14" i="22"/>
  <c r="I14" i="22" s="1"/>
  <c r="G13" i="22"/>
  <c r="I13" i="22" s="1"/>
  <c r="G12" i="22"/>
  <c r="I12" i="22" s="1"/>
  <c r="G11" i="22"/>
  <c r="I11" i="22" s="1"/>
  <c r="G10" i="22"/>
  <c r="I10" i="22" s="1"/>
  <c r="G6" i="22"/>
  <c r="I6" i="22" s="1"/>
  <c r="G284" i="22"/>
  <c r="I284" i="22" s="1"/>
  <c r="G244" i="22"/>
  <c r="I244" i="22" s="1"/>
  <c r="G236" i="22"/>
  <c r="I236" i="22" s="1"/>
  <c r="G212" i="22"/>
  <c r="I212" i="22" s="1"/>
  <c r="G211" i="22"/>
  <c r="I211" i="22" s="1"/>
  <c r="G209" i="22"/>
  <c r="I209" i="22" s="1"/>
  <c r="G208" i="22"/>
  <c r="I208" i="22" s="1"/>
  <c r="G207" i="22"/>
  <c r="I207" i="22" s="1"/>
  <c r="G205" i="22"/>
  <c r="I205" i="22" s="1"/>
  <c r="G203" i="22"/>
  <c r="I203" i="22" s="1"/>
  <c r="G201" i="22"/>
  <c r="I201" i="22" s="1"/>
  <c r="G199" i="22"/>
  <c r="I199" i="22" s="1"/>
  <c r="G197" i="22"/>
  <c r="I197" i="22" s="1"/>
  <c r="G195" i="22"/>
  <c r="I195" i="22" s="1"/>
  <c r="G193" i="22"/>
  <c r="I193" i="22" s="1"/>
  <c r="G191" i="22"/>
  <c r="I191" i="22" s="1"/>
  <c r="G189" i="22"/>
  <c r="I189" i="22" s="1"/>
  <c r="G187" i="22"/>
  <c r="I187" i="22" s="1"/>
  <c r="G184" i="22"/>
  <c r="I184" i="22" s="1"/>
  <c r="G181" i="22"/>
  <c r="I181" i="22" s="1"/>
  <c r="G179" i="22"/>
  <c r="I179" i="22" s="1"/>
  <c r="G176" i="22"/>
  <c r="I176" i="22" s="1"/>
  <c r="G173" i="22"/>
  <c r="I173" i="22" s="1"/>
  <c r="G171" i="22"/>
  <c r="I171" i="22" s="1"/>
  <c r="G169" i="22"/>
  <c r="I169" i="22" s="1"/>
  <c r="G167" i="22"/>
  <c r="I167" i="22" s="1"/>
  <c r="G164" i="22"/>
  <c r="I164" i="22" s="1"/>
  <c r="G162" i="22"/>
  <c r="I162" i="22" s="1"/>
  <c r="G160" i="22"/>
  <c r="I160" i="22" s="1"/>
  <c r="G158" i="22"/>
  <c r="I158" i="22" s="1"/>
  <c r="G157" i="22"/>
  <c r="I157" i="22" s="1"/>
  <c r="G155" i="22"/>
  <c r="I155" i="22" s="1"/>
  <c r="G153" i="22"/>
  <c r="I153" i="22" s="1"/>
  <c r="G151" i="22"/>
  <c r="I151" i="22" s="1"/>
  <c r="G150" i="22"/>
  <c r="I150" i="22" s="1"/>
  <c r="G148" i="22"/>
  <c r="I148" i="22" s="1"/>
  <c r="G146" i="22"/>
  <c r="I146" i="22" s="1"/>
  <c r="G145" i="22"/>
  <c r="I145" i="22" s="1"/>
  <c r="G143" i="22"/>
  <c r="I143" i="22" s="1"/>
  <c r="G141" i="22"/>
  <c r="I141" i="22" s="1"/>
  <c r="G140" i="22"/>
  <c r="I140" i="22" s="1"/>
  <c r="G138" i="22"/>
  <c r="I138" i="22" s="1"/>
  <c r="G136" i="22"/>
  <c r="I136" i="22" s="1"/>
  <c r="G134" i="22"/>
  <c r="I134" i="22" s="1"/>
  <c r="G132" i="22"/>
  <c r="I132" i="22" s="1"/>
  <c r="G130" i="22"/>
  <c r="I130" i="22" s="1"/>
  <c r="G128" i="22"/>
  <c r="I128" i="22" s="1"/>
  <c r="G126" i="22"/>
  <c r="I126" i="22" s="1"/>
  <c r="G124" i="22"/>
  <c r="I124" i="22" s="1"/>
  <c r="G122" i="22"/>
  <c r="I122" i="22" s="1"/>
  <c r="G121" i="22"/>
  <c r="I121" i="22" s="1"/>
  <c r="G119" i="22"/>
  <c r="I119" i="22" s="1"/>
  <c r="G117" i="22"/>
  <c r="I117" i="22" s="1"/>
  <c r="G115" i="22"/>
  <c r="I115" i="22" s="1"/>
  <c r="G114" i="22"/>
  <c r="I114" i="22" s="1"/>
  <c r="G112" i="22"/>
  <c r="I112" i="22" s="1"/>
  <c r="G110" i="22"/>
  <c r="I110" i="22" s="1"/>
  <c r="G108" i="22"/>
  <c r="I108" i="22" s="1"/>
  <c r="G106" i="22"/>
  <c r="I106" i="22" s="1"/>
  <c r="G104" i="22"/>
  <c r="I104" i="22" s="1"/>
  <c r="G102" i="22"/>
  <c r="I102" i="22" s="1"/>
  <c r="G100" i="22"/>
  <c r="I100" i="22" s="1"/>
  <c r="G25" i="22"/>
  <c r="I25" i="22" s="1"/>
  <c r="G5" i="22"/>
  <c r="I5" i="22" s="1"/>
  <c r="G99" i="22"/>
  <c r="I99" i="22" s="1"/>
  <c r="G98" i="22"/>
  <c r="I98" i="22" s="1"/>
  <c r="G97" i="22"/>
  <c r="I97" i="22" s="1"/>
  <c r="G96" i="22"/>
  <c r="I96" i="22" s="1"/>
  <c r="G94" i="22"/>
  <c r="I94" i="22" s="1"/>
  <c r="G93" i="22"/>
  <c r="I93" i="22" s="1"/>
  <c r="G92" i="22"/>
  <c r="I92" i="22" s="1"/>
  <c r="G91" i="22"/>
  <c r="I91" i="22" s="1"/>
  <c r="G90" i="22"/>
  <c r="I90" i="22" s="1"/>
  <c r="G89" i="22"/>
  <c r="I89" i="22" s="1"/>
  <c r="G87" i="22"/>
  <c r="I87" i="22" s="1"/>
  <c r="G85" i="22"/>
  <c r="I85" i="22" s="1"/>
  <c r="G83" i="22"/>
  <c r="I83" i="22" s="1"/>
  <c r="G81" i="22"/>
  <c r="I81" i="22" s="1"/>
  <c r="G79" i="22"/>
  <c r="I79" i="22" s="1"/>
  <c r="G78" i="22"/>
  <c r="I78" i="22" s="1"/>
  <c r="G76" i="22"/>
  <c r="I76" i="22" s="1"/>
  <c r="G74" i="22"/>
  <c r="I74" i="22" s="1"/>
  <c r="G72" i="22"/>
  <c r="I72" i="22" s="1"/>
  <c r="G70" i="22"/>
  <c r="I70" i="22" s="1"/>
  <c r="G68" i="22"/>
  <c r="I68" i="22" s="1"/>
  <c r="G66" i="22"/>
  <c r="I66" i="22" s="1"/>
  <c r="G64" i="22"/>
  <c r="I64" i="22" s="1"/>
  <c r="G63" i="22"/>
  <c r="I63" i="22" s="1"/>
  <c r="G61" i="22"/>
  <c r="I61" i="22" s="1"/>
  <c r="G59" i="22"/>
  <c r="I59" i="22" s="1"/>
  <c r="G57" i="22"/>
  <c r="I57" i="22" s="1"/>
  <c r="G55" i="22"/>
  <c r="I55" i="22" s="1"/>
  <c r="G53" i="22"/>
  <c r="I53" i="22" s="1"/>
  <c r="G51" i="22"/>
  <c r="I51" i="22" s="1"/>
  <c r="G49" i="22"/>
  <c r="I49" i="22" s="1"/>
  <c r="G47" i="22"/>
  <c r="I47" i="22" s="1"/>
  <c r="G45" i="22"/>
  <c r="I45" i="22" s="1"/>
  <c r="G44" i="22"/>
  <c r="I44" i="22" s="1"/>
  <c r="G42" i="22"/>
  <c r="I42" i="22" s="1"/>
  <c r="G40" i="22"/>
  <c r="I40" i="22" s="1"/>
  <c r="G38" i="22"/>
  <c r="I38" i="22" s="1"/>
  <c r="G36" i="22"/>
  <c r="I36" i="22" s="1"/>
  <c r="G21" i="22"/>
  <c r="I21" i="22" s="1"/>
  <c r="G15" i="22"/>
  <c r="I15" i="22" s="1"/>
  <c r="G9" i="22"/>
  <c r="I9" i="22" s="1"/>
  <c r="G3" i="22"/>
  <c r="I3" i="22" s="1"/>
  <c r="G95" i="22"/>
  <c r="I95" i="22" s="1"/>
  <c r="G88" i="22"/>
  <c r="I88" i="22" s="1"/>
  <c r="G86" i="22"/>
  <c r="I86" i="22" s="1"/>
  <c r="G84" i="22"/>
  <c r="I84" i="22" s="1"/>
  <c r="G82" i="22"/>
  <c r="I82" i="22" s="1"/>
  <c r="G80" i="22"/>
  <c r="I80" i="22" s="1"/>
  <c r="G77" i="22"/>
  <c r="I77" i="22" s="1"/>
  <c r="G75" i="22"/>
  <c r="I75" i="22" s="1"/>
  <c r="G73" i="22"/>
  <c r="I73" i="22" s="1"/>
  <c r="G71" i="22"/>
  <c r="I71" i="22" s="1"/>
  <c r="G69" i="22"/>
  <c r="I69" i="22" s="1"/>
  <c r="G67" i="22"/>
  <c r="I67" i="22" s="1"/>
  <c r="G65" i="22"/>
  <c r="I65" i="22" s="1"/>
  <c r="G62" i="22"/>
  <c r="I62" i="22" s="1"/>
  <c r="G60" i="22"/>
  <c r="I60" i="22" s="1"/>
  <c r="G58" i="22"/>
  <c r="I58" i="22" s="1"/>
  <c r="G56" i="22"/>
  <c r="I56" i="22" s="1"/>
  <c r="G54" i="22"/>
  <c r="I54" i="22" s="1"/>
  <c r="G52" i="22"/>
  <c r="I52" i="22" s="1"/>
  <c r="G50" i="22"/>
  <c r="I50" i="22" s="1"/>
  <c r="G48" i="22"/>
  <c r="I48" i="22" s="1"/>
  <c r="G46" i="22"/>
  <c r="I46" i="22" s="1"/>
  <c r="G43" i="22"/>
  <c r="I43" i="22" s="1"/>
  <c r="G41" i="22"/>
  <c r="I41" i="22" s="1"/>
  <c r="G39" i="22"/>
  <c r="I39" i="22" s="1"/>
  <c r="G37" i="22"/>
  <c r="I37" i="22" s="1"/>
  <c r="G35" i="22"/>
  <c r="I35" i="22" s="1"/>
  <c r="G33" i="22"/>
  <c r="I33" i="22" s="1"/>
  <c r="G17" i="22"/>
  <c r="I17" i="22" s="1"/>
  <c r="G7" i="22"/>
  <c r="I7" i="22" s="1"/>
  <c r="G29" i="22"/>
  <c r="I29" i="22" s="1"/>
  <c r="AO27" i="21"/>
  <c r="AO26" i="21"/>
  <c r="AO25" i="21"/>
  <c r="AO24" i="21"/>
  <c r="BA68" i="21"/>
  <c r="AX66" i="21"/>
  <c r="BA67" i="21"/>
  <c r="AX65" i="21"/>
  <c r="BA66" i="21"/>
  <c r="BA65" i="21"/>
  <c r="C34" i="25" l="1"/>
  <c r="E34" i="25" s="1"/>
  <c r="G34" i="25" s="1"/>
  <c r="D4" i="25"/>
  <c r="M11" i="25" s="1"/>
  <c r="BA69" i="21"/>
  <c r="AW48" i="21" l="1"/>
  <c r="AW33" i="21"/>
  <c r="G6" i="25"/>
  <c r="G8" i="25"/>
  <c r="I34" i="25"/>
  <c r="K34" i="25"/>
  <c r="I26" i="25"/>
  <c r="J26" i="25" s="1"/>
  <c r="I23" i="25"/>
  <c r="J23" i="25" s="1"/>
  <c r="I19" i="25"/>
  <c r="J19" i="25" s="1"/>
  <c r="I24" i="25"/>
  <c r="J24" i="25" s="1"/>
  <c r="I25" i="25"/>
  <c r="J25" i="25" s="1"/>
  <c r="I22" i="25"/>
  <c r="J22" i="25" s="1"/>
  <c r="I18" i="25"/>
  <c r="J18" i="25" s="1"/>
  <c r="I17" i="25"/>
  <c r="J17" i="25" s="1"/>
  <c r="I21" i="25"/>
  <c r="J21" i="25" s="1"/>
  <c r="I20" i="25"/>
  <c r="J20" i="25" s="1"/>
  <c r="G17" i="25"/>
  <c r="H17" i="25" s="1"/>
  <c r="G18" i="25"/>
  <c r="H18" i="25" s="1"/>
  <c r="G24" i="25"/>
  <c r="H24" i="25" s="1"/>
  <c r="G20" i="25"/>
  <c r="H20" i="25" s="1"/>
  <c r="G23" i="25"/>
  <c r="H23" i="25" s="1"/>
  <c r="G22" i="25"/>
  <c r="H22" i="25" s="1"/>
  <c r="G21" i="25"/>
  <c r="H21" i="25" s="1"/>
  <c r="G25" i="25"/>
  <c r="H25" i="25" s="1"/>
  <c r="G26" i="25"/>
  <c r="H26" i="25" s="1"/>
  <c r="G19" i="25"/>
  <c r="H19" i="25" s="1"/>
  <c r="I14" i="25"/>
  <c r="J14" i="25" s="1"/>
  <c r="I10" i="25"/>
  <c r="J10" i="25" s="1"/>
  <c r="I6" i="25"/>
  <c r="J6" i="25" s="1"/>
  <c r="I13" i="25"/>
  <c r="J13" i="25" s="1"/>
  <c r="I9" i="25"/>
  <c r="J9" i="25" s="1"/>
  <c r="G9" i="25"/>
  <c r="G7" i="25"/>
  <c r="I7" i="25"/>
  <c r="I8" i="25"/>
  <c r="J8" i="25" s="1"/>
  <c r="G13" i="25"/>
  <c r="G11" i="25"/>
  <c r="I11" i="25"/>
  <c r="J11" i="25" s="1"/>
  <c r="I12" i="25"/>
  <c r="G12" i="25"/>
  <c r="G15" i="25"/>
  <c r="I15" i="25"/>
  <c r="J15" i="25" s="1"/>
  <c r="I16" i="25"/>
  <c r="J16" i="25" s="1"/>
  <c r="G16" i="25"/>
  <c r="G14" i="25"/>
  <c r="G10" i="25"/>
  <c r="V98" i="21"/>
  <c r="V99" i="21"/>
  <c r="V97" i="21"/>
  <c r="X51" i="21"/>
  <c r="X101" i="21"/>
  <c r="X105" i="21"/>
  <c r="X102" i="21"/>
  <c r="X106" i="21"/>
  <c r="X103" i="21"/>
  <c r="X65" i="21"/>
  <c r="X104" i="21"/>
  <c r="X100" i="21"/>
  <c r="K6" i="25" l="1"/>
  <c r="I4" i="25"/>
  <c r="G4" i="25"/>
  <c r="K17" i="25"/>
  <c r="K24" i="25"/>
  <c r="K18" i="25"/>
  <c r="K19" i="25"/>
  <c r="K20" i="25"/>
  <c r="K22" i="25"/>
  <c r="K23" i="25"/>
  <c r="K21" i="25"/>
  <c r="K25" i="25"/>
  <c r="K26" i="25"/>
  <c r="J12" i="25"/>
  <c r="J7" i="25"/>
  <c r="K7" i="25" s="1"/>
  <c r="H6" i="25"/>
  <c r="K11" i="25"/>
  <c r="H11" i="25"/>
  <c r="H12" i="25"/>
  <c r="H13" i="25"/>
  <c r="K13" i="25"/>
  <c r="H7" i="25"/>
  <c r="K10" i="25"/>
  <c r="H10" i="25"/>
  <c r="H8" i="25"/>
  <c r="K8" i="25"/>
  <c r="H9" i="25"/>
  <c r="K9" i="25"/>
  <c r="H16" i="25"/>
  <c r="K16" i="25"/>
  <c r="K14" i="25"/>
  <c r="H14" i="25"/>
  <c r="K15" i="25"/>
  <c r="H15" i="25"/>
  <c r="H4" i="25" l="1"/>
  <c r="AW37" i="21" s="1"/>
  <c r="D29" i="21"/>
  <c r="D30" i="26" s="1"/>
  <c r="AW32" i="21"/>
  <c r="S39" i="21" s="1"/>
  <c r="Y42" i="26" s="1"/>
  <c r="AW31" i="21"/>
  <c r="I35" i="25"/>
  <c r="I44" i="25" s="1"/>
  <c r="I45" i="25" s="1"/>
  <c r="J4" i="25"/>
  <c r="K12" i="25"/>
  <c r="BB9" i="21" l="1"/>
  <c r="Q39" i="21"/>
  <c r="W42" i="26" s="1"/>
  <c r="AW39" i="21"/>
  <c r="AW23" i="21" s="1"/>
  <c r="AW24" i="21" s="1"/>
  <c r="BB10" i="21"/>
  <c r="AW25" i="21"/>
  <c r="I47" i="25"/>
  <c r="I48" i="25" s="1"/>
  <c r="I38" i="25"/>
  <c r="I39" i="25" s="1"/>
  <c r="J36" i="25"/>
  <c r="J39" i="25" s="1"/>
  <c r="J42" i="25" s="1"/>
  <c r="J45" i="25" s="1"/>
  <c r="J48" i="25" s="1"/>
  <c r="J51" i="25" s="1"/>
  <c r="J35" i="25"/>
  <c r="J38" i="25" s="1"/>
  <c r="J41" i="25" s="1"/>
  <c r="J44" i="25" s="1"/>
  <c r="J47" i="25" s="1"/>
  <c r="J50" i="25" s="1"/>
  <c r="I36" i="25"/>
  <c r="I41" i="25"/>
  <c r="I42" i="25" s="1"/>
  <c r="J37" i="25"/>
  <c r="J40" i="25" s="1"/>
  <c r="J43" i="25" s="1"/>
  <c r="J46" i="25" s="1"/>
  <c r="J49" i="25" s="1"/>
  <c r="J52" i="25" s="1"/>
  <c r="I50" i="25"/>
  <c r="I51" i="25" s="1"/>
  <c r="L35" i="25"/>
  <c r="K4" i="25"/>
  <c r="R31" i="21"/>
  <c r="AU14" i="21" l="1"/>
  <c r="M38" i="21"/>
  <c r="AU17" i="21"/>
  <c r="AV17" i="21" s="1"/>
  <c r="AW50" i="21"/>
  <c r="L31" i="21" s="1" a="1"/>
  <c r="L31" i="21" s="1"/>
  <c r="O28" i="26" s="1"/>
  <c r="R32" i="21"/>
  <c r="AW49" i="21" s="1"/>
  <c r="Y35" i="26"/>
  <c r="AW42" i="21"/>
  <c r="AW43" i="21"/>
  <c r="AU13" i="21" l="1"/>
  <c r="AV13" i="21" s="1"/>
  <c r="AV14" i="21"/>
  <c r="N38" i="21"/>
  <c r="Q41" i="26" s="1"/>
  <c r="P41" i="26"/>
  <c r="Y36" i="26"/>
  <c r="AU12" i="21" l="1"/>
  <c r="AV12" i="21" s="1"/>
  <c r="BB15" i="21"/>
  <c r="AU8" i="21" l="1"/>
  <c r="AV8" i="21" s="1"/>
  <c r="AU11" i="21"/>
  <c r="AV11" i="21" s="1"/>
  <c r="AU10" i="21"/>
  <c r="AV10" i="21" s="1"/>
  <c r="AU7" i="21"/>
  <c r="AV7" i="21" s="1"/>
  <c r="AW7" i="21" s="1"/>
  <c r="AU9" i="21"/>
  <c r="AV9" i="21" s="1"/>
  <c r="AV15" i="21" l="1"/>
  <c r="AV18" i="21" s="1"/>
  <c r="D35" i="21"/>
  <c r="G30" i="21" s="1"/>
  <c r="AN34" i="21"/>
  <c r="AU15" i="21"/>
  <c r="AW17" i="21"/>
  <c r="AX17" i="21" s="1"/>
  <c r="AW11" i="21"/>
  <c r="AX11" i="21" s="1"/>
  <c r="D35" i="26" l="1"/>
  <c r="G32" i="26"/>
  <c r="R37" i="26"/>
  <c r="BC12" i="21"/>
  <c r="BC17" i="21"/>
  <c r="AW16" i="21"/>
  <c r="AX16" i="21" s="1"/>
  <c r="AW9" i="21"/>
  <c r="AW10" i="21"/>
  <c r="AX10" i="21" s="1"/>
  <c r="AW14" i="21"/>
  <c r="AX14" i="21" s="1"/>
  <c r="AX7" i="21"/>
  <c r="AW8" i="21"/>
  <c r="AW13" i="21"/>
  <c r="AW12" i="21"/>
  <c r="AX13" i="21" l="1"/>
  <c r="BD13" i="21"/>
  <c r="BD17" i="21"/>
  <c r="AW15" i="21"/>
  <c r="BC8" i="21"/>
  <c r="AX8" i="21"/>
  <c r="BC9" i="21"/>
  <c r="BD9" i="21" s="1"/>
  <c r="BI9" i="21" s="1"/>
  <c r="AX9" i="21"/>
  <c r="AX12" i="21"/>
  <c r="BC11" i="21"/>
  <c r="BD11" i="21" s="1"/>
  <c r="BI11" i="21" s="1"/>
  <c r="BC14" i="21"/>
  <c r="BC16" i="21"/>
  <c r="BC7" i="21"/>
  <c r="BC10" i="21"/>
  <c r="BD10" i="21" s="1"/>
  <c r="BI10" i="21" s="1"/>
  <c r="BF13" i="21" l="1"/>
  <c r="BH13" i="21" s="1"/>
  <c r="BI13" i="21"/>
  <c r="BD16" i="21"/>
  <c r="BF16" i="21" s="1"/>
  <c r="BE17" i="21"/>
  <c r="BD7" i="21"/>
  <c r="BI7" i="21" s="1"/>
  <c r="BF11" i="21"/>
  <c r="BF17" i="21"/>
  <c r="BD8" i="21"/>
  <c r="BI8" i="21" s="1"/>
  <c r="BD12" i="21"/>
  <c r="BI12" i="21" s="1"/>
  <c r="BD14" i="21"/>
  <c r="AW18" i="21"/>
  <c r="AX19" i="21" s="1"/>
  <c r="BA19" i="21" s="1"/>
  <c r="AW30" i="21"/>
  <c r="BA12" i="21" s="1"/>
  <c r="BE13" i="21"/>
  <c r="BF9" i="21"/>
  <c r="BF10" i="21"/>
  <c r="BC15" i="21"/>
  <c r="BC18" i="21" s="1"/>
  <c r="AX15" i="21"/>
  <c r="BE16" i="21" l="1"/>
  <c r="BF14" i="21"/>
  <c r="BH14" i="21" s="1"/>
  <c r="BI14" i="21"/>
  <c r="BI15" i="21" s="1"/>
  <c r="BF12" i="21"/>
  <c r="BE8" i="21"/>
  <c r="BF7" i="21"/>
  <c r="BH7" i="21" s="1"/>
  <c r="BE7" i="21"/>
  <c r="BE14" i="21"/>
  <c r="BE11" i="21"/>
  <c r="AZ19" i="21"/>
  <c r="BF8" i="21"/>
  <c r="BH8" i="21" s="1"/>
  <c r="AX18" i="21"/>
  <c r="D13" i="26" s="1"/>
  <c r="E34" i="21"/>
  <c r="D12" i="26"/>
  <c r="AW26" i="21"/>
  <c r="BH11" i="21"/>
  <c r="BE12" i="21"/>
  <c r="BE10" i="21"/>
  <c r="BE9" i="21"/>
  <c r="BD15" i="21"/>
  <c r="BD18" i="21" s="1"/>
  <c r="BA16" i="21"/>
  <c r="BA17" i="21"/>
  <c r="BA13" i="21"/>
  <c r="BA14" i="21"/>
  <c r="BA7" i="21"/>
  <c r="BA10" i="21"/>
  <c r="BA9" i="21"/>
  <c r="BA8" i="21"/>
  <c r="BA11" i="21"/>
  <c r="AY17" i="21" l="1"/>
  <c r="AY11" i="21"/>
  <c r="AZ11" i="21" s="1"/>
  <c r="BG11" i="21" s="1"/>
  <c r="AY10" i="21"/>
  <c r="AZ10" i="21" s="1"/>
  <c r="BG10" i="21" s="1"/>
  <c r="S40" i="21" s="1"/>
  <c r="Y43" i="26" s="1"/>
  <c r="AY8" i="21"/>
  <c r="AZ8" i="21" s="1"/>
  <c r="BG8" i="21" s="1"/>
  <c r="AY58" i="21" s="1"/>
  <c r="AY12" i="21"/>
  <c r="AY16" i="21"/>
  <c r="AY7" i="21"/>
  <c r="AY14" i="21"/>
  <c r="AZ14" i="21" s="1"/>
  <c r="BG14" i="21" s="1"/>
  <c r="AY60" i="21" s="1"/>
  <c r="AY9" i="21"/>
  <c r="AZ9" i="21" s="1"/>
  <c r="AY13" i="21"/>
  <c r="AZ13" i="21" s="1"/>
  <c r="BG13" i="21" s="1"/>
  <c r="AY59" i="21" s="1"/>
  <c r="L42" i="26" s="1"/>
  <c r="BH10" i="21"/>
  <c r="BH12" i="21"/>
  <c r="BH9" i="21"/>
  <c r="BF15" i="21"/>
  <c r="BE15" i="21"/>
  <c r="BE18" i="21" s="1"/>
  <c r="BA15" i="21"/>
  <c r="BJ11" i="21" s="1"/>
  <c r="BH15" i="21" l="1"/>
  <c r="BJ8" i="21"/>
  <c r="BJ7" i="21"/>
  <c r="BJ10" i="21"/>
  <c r="BJ9" i="21"/>
  <c r="W40" i="21"/>
  <c r="AD43" i="26" s="1"/>
  <c r="AZ16" i="21"/>
  <c r="BG16" i="21" s="1"/>
  <c r="BH16" i="21"/>
  <c r="AZ17" i="21"/>
  <c r="BG17" i="21" s="1"/>
  <c r="BH17" i="21"/>
  <c r="BF18" i="21"/>
  <c r="BA18" i="21"/>
  <c r="BG9" i="21"/>
  <c r="Q40" i="21" s="1"/>
  <c r="W43" i="26" s="1"/>
  <c r="I39" i="21"/>
  <c r="L43" i="26"/>
  <c r="I40" i="21"/>
  <c r="AZ7" i="21"/>
  <c r="AY15" i="21"/>
  <c r="AZ12" i="21"/>
  <c r="BG12" i="21" s="1"/>
  <c r="M40" i="21" s="1"/>
  <c r="P43" i="26" s="1"/>
  <c r="BJ15" i="21" l="1"/>
  <c r="V40" i="21"/>
  <c r="AB43" i="26" s="1"/>
  <c r="BH18" i="21"/>
  <c r="Z47" i="26" s="1"/>
  <c r="AY18" i="21"/>
  <c r="P43" i="21"/>
  <c r="M47" i="26" s="1"/>
  <c r="AZ15" i="21"/>
  <c r="BG7" i="21"/>
  <c r="BG15" i="21" s="1"/>
  <c r="BG18" i="21" s="1"/>
  <c r="BG19" i="21" s="1"/>
  <c r="D14" i="26" l="1"/>
  <c r="AZ18" i="21"/>
  <c r="D15" i="2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 J O'Halloran (DEDJTR)</author>
  </authors>
  <commentList>
    <comment ref="B1" authorId="0" shapeId="0" xr:uid="{183AB5A3-1FE2-4ABA-9F60-65AF5513AF04}">
      <text>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Nick J O'Halloran (DEDJTR)</author>
    <author>John Paulet</author>
    <author>John Paulet (DJPR)</author>
  </authors>
  <commentList>
    <comment ref="B2" authorId="0" shapeId="0" xr:uid="{C3639EC6-3866-420C-B7F1-6B7E15C165C1}">
      <text>
        <r>
          <rPr>
            <sz val="9"/>
            <color indexed="81"/>
            <rFont val="Tahoma"/>
            <family val="2"/>
          </rPr>
          <t xml:space="preserve">
</t>
        </r>
      </text>
    </comment>
    <comment ref="B4" authorId="0" shapeId="0" xr:uid="{8A960941-0CF8-4760-92FF-994FFFA1B0EF}">
      <text>
        <r>
          <rPr>
            <sz val="9"/>
            <color indexed="81"/>
            <rFont val="Tahoma"/>
            <family val="2"/>
          </rPr>
          <t xml:space="preserve">
</t>
        </r>
      </text>
    </comment>
    <comment ref="D11" authorId="0" shapeId="0" xr:uid="{D795F1F0-FEC2-4687-B367-B10055D100EE}">
      <text>
        <r>
          <rPr>
            <b/>
            <sz val="9"/>
            <color indexed="81"/>
            <rFont val="Tahoma"/>
            <family val="2"/>
          </rPr>
          <t xml:space="preserve">K value located in meter box.
Usually 40 or 1 if not stated.
</t>
        </r>
      </text>
    </comment>
    <comment ref="D20" authorId="1" shapeId="0" xr:uid="{A7D8AC42-8035-43B8-8B89-A4D6612011DE}">
      <text>
        <r>
          <rPr>
            <b/>
            <sz val="9"/>
            <color indexed="81"/>
            <rFont val="Tahoma"/>
            <family val="2"/>
          </rPr>
          <t>Leave blank to use flow rate calculated from meter readings above.</t>
        </r>
      </text>
    </comment>
    <comment ref="D32" authorId="0" shapeId="0" xr:uid="{8FFF23CA-F661-4B21-B38C-0FF3B4500B20}">
      <text/>
    </comment>
    <comment ref="D33" authorId="2" shapeId="0" xr:uid="{73BF1138-8EE0-4205-8C5F-8E8299C64CC9}">
      <text>
        <r>
          <rPr>
            <b/>
            <sz val="9"/>
            <color indexed="81"/>
            <rFont val="Tahoma"/>
            <family val="2"/>
          </rPr>
          <t xml:space="preserve">For electric motors:
Older motors: typically 90 %
Newer motors: typically 95 %
</t>
        </r>
      </text>
    </comment>
    <comment ref="D34" authorId="0" shapeId="0" xr:uid="{51FE05A6-CE7C-4DAB-913C-43B4BE425841}">
      <text>
        <r>
          <rPr>
            <b/>
            <sz val="9"/>
            <color indexed="81"/>
            <rFont val="Tahoma"/>
            <family val="2"/>
          </rPr>
          <t>Range for diesel motors: 25 - 40%
     25% efficiency = 0.37 L diesel/kWh
     40% efficiency = 0.23 L diesel/kWh
Typically:
25-35 % for older or underloaded motors 
35-40 % for newer motors</t>
        </r>
      </text>
    </comment>
    <comment ref="I39" authorId="0" shapeId="0" xr:uid="{0BD672FE-E426-4CFE-A24F-507141068C84}">
      <text>
        <r>
          <rPr>
            <b/>
            <sz val="9"/>
            <color indexed="81"/>
            <rFont val="Tahoma"/>
            <family val="2"/>
          </rPr>
          <t>These savings are estimated assuming conversion to direct drive (100% efficiency)</t>
        </r>
      </text>
    </comment>
    <comment ref="I40" authorId="0" shapeId="0" xr:uid="{7BBD8763-4417-43DC-87EF-1F58CC04358C}">
      <text>
        <r>
          <rPr>
            <b/>
            <sz val="9"/>
            <color indexed="81"/>
            <rFont val="Tahoma"/>
            <family val="2"/>
          </rPr>
          <t xml:space="preserve">These savings are estimated assuming installation of a more efficient motor:
IE4 electric motor: 95% efficient
Modern diesel motor: 40% efficient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Nick J O'Halloran (DEDJTR)</author>
  </authors>
  <commentList>
    <comment ref="B2" authorId="0" shapeId="0" xr:uid="{3199FF51-3619-4674-9B71-464A6BE7C937}">
      <text>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<sst xmlns="http://schemas.openxmlformats.org/spreadsheetml/2006/main" count="2852" uniqueCount="565">
  <si>
    <t>Input</t>
  </si>
  <si>
    <t>Electricity</t>
  </si>
  <si>
    <t>Diesel</t>
  </si>
  <si>
    <t>Energy cost</t>
  </si>
  <si>
    <t>Efficiency</t>
  </si>
  <si>
    <t>ha</t>
  </si>
  <si>
    <t>ML</t>
  </si>
  <si>
    <t>Energy consumption</t>
  </si>
  <si>
    <t>$/ML</t>
  </si>
  <si>
    <t>Conversion factors</t>
  </si>
  <si>
    <t>m head</t>
  </si>
  <si>
    <t>=</t>
  </si>
  <si>
    <t>PSI</t>
  </si>
  <si>
    <t>KPa</t>
  </si>
  <si>
    <t>Bar</t>
  </si>
  <si>
    <t>Pump efficiency</t>
  </si>
  <si>
    <t>Cost</t>
  </si>
  <si>
    <t>Motor efficiency</t>
  </si>
  <si>
    <t>Drive train efficiency</t>
  </si>
  <si>
    <t>Pump effeciency</t>
  </si>
  <si>
    <t xml:space="preserve">Min energy use </t>
  </si>
  <si>
    <t>Unit</t>
  </si>
  <si>
    <t>System energy use</t>
  </si>
  <si>
    <t>Average</t>
  </si>
  <si>
    <t>Range</t>
  </si>
  <si>
    <t>Energy source</t>
  </si>
  <si>
    <t>L/ML/m</t>
  </si>
  <si>
    <t>Diesel use (L/ML)</t>
  </si>
  <si>
    <t>Energy unit cost</t>
  </si>
  <si>
    <t>Suction</t>
  </si>
  <si>
    <t>kWh/ML/m</t>
  </si>
  <si>
    <t>kWh/ML</t>
  </si>
  <si>
    <t>Energy use (kWh/ML)</t>
  </si>
  <si>
    <t>Energy use</t>
  </si>
  <si>
    <t>Real motor energy use</t>
  </si>
  <si>
    <t>m</t>
  </si>
  <si>
    <t>%</t>
  </si>
  <si>
    <t>L diesel/ML</t>
  </si>
  <si>
    <t>Use</t>
  </si>
  <si>
    <t>Pivot base pressure</t>
  </si>
  <si>
    <t>System capacity</t>
  </si>
  <si>
    <t>mm/day</t>
  </si>
  <si>
    <t>End gun</t>
  </si>
  <si>
    <t>Crop</t>
  </si>
  <si>
    <t>ML/ha/year</t>
  </si>
  <si>
    <t>Pivot details</t>
  </si>
  <si>
    <t>Suction lift</t>
  </si>
  <si>
    <t>Lift to pivot base</t>
  </si>
  <si>
    <t>Delivery line pressure</t>
  </si>
  <si>
    <t>Lift above pivot base</t>
  </si>
  <si>
    <t>Regulator rating</t>
  </si>
  <si>
    <t>Residual pressure</t>
  </si>
  <si>
    <t>Energy input</t>
  </si>
  <si>
    <t>Residual</t>
  </si>
  <si>
    <t>Total dynamic head</t>
  </si>
  <si>
    <t>Water use</t>
  </si>
  <si>
    <t>Crop water use</t>
  </si>
  <si>
    <t>Lucerne</t>
  </si>
  <si>
    <t>Maize</t>
  </si>
  <si>
    <t>Perennial pasture</t>
  </si>
  <si>
    <t>Winter crop</t>
  </si>
  <si>
    <t>Mixed</t>
  </si>
  <si>
    <t>Endgun</t>
  </si>
  <si>
    <t>None</t>
  </si>
  <si>
    <t>Add Resid</t>
  </si>
  <si>
    <t>ML/day</t>
  </si>
  <si>
    <t>Suction friction loss</t>
  </si>
  <si>
    <t>Length (m)</t>
  </si>
  <si>
    <t>ID_Gun x noz X pre</t>
  </si>
  <si>
    <t>Nozzle</t>
  </si>
  <si>
    <t>Pressure (psi</t>
  </si>
  <si>
    <t>Flow (ML/day)</t>
  </si>
  <si>
    <t>Throw (m)</t>
  </si>
  <si>
    <t>Area (ha)</t>
  </si>
  <si>
    <t>Flow (l/s)</t>
  </si>
  <si>
    <t>SC (mm/day)</t>
  </si>
  <si>
    <t>Twin Max 18 deg</t>
  </si>
  <si>
    <t>R55A</t>
  </si>
  <si>
    <t>R75LP</t>
  </si>
  <si>
    <t>R75</t>
  </si>
  <si>
    <t>R55VT</t>
  </si>
  <si>
    <t>SR75</t>
  </si>
  <si>
    <t>SR100</t>
  </si>
  <si>
    <t>ID</t>
  </si>
  <si>
    <t>Flow (ml/day)</t>
  </si>
  <si>
    <t>Pressure</t>
  </si>
  <si>
    <t>Booster pump</t>
  </si>
  <si>
    <t>Booster</t>
  </si>
  <si>
    <t>Col</t>
  </si>
  <si>
    <t>TwinMax18deg</t>
  </si>
  <si>
    <t>End gun nozzle size</t>
  </si>
  <si>
    <t>Table</t>
  </si>
  <si>
    <t>Table244</t>
  </si>
  <si>
    <t>Table345</t>
  </si>
  <si>
    <t>Table45</t>
  </si>
  <si>
    <t>Table47</t>
  </si>
  <si>
    <t>Table49</t>
  </si>
  <si>
    <t>Table50</t>
  </si>
  <si>
    <t>Table51</t>
  </si>
  <si>
    <t>Table52</t>
  </si>
  <si>
    <t>Table53</t>
  </si>
  <si>
    <t>SR750.440</t>
  </si>
  <si>
    <t>SR750.450</t>
  </si>
  <si>
    <t>SR750.460</t>
  </si>
  <si>
    <t>SR750.470</t>
  </si>
  <si>
    <t>SR750.480</t>
  </si>
  <si>
    <t>SR750.4535</t>
  </si>
  <si>
    <t>SR750.4540</t>
  </si>
  <si>
    <t>SR750.4550</t>
  </si>
  <si>
    <t>SR750.4560</t>
  </si>
  <si>
    <t>SR750.4570</t>
  </si>
  <si>
    <t>SR750.4580</t>
  </si>
  <si>
    <t>SR750.530</t>
  </si>
  <si>
    <t>SR750.535</t>
  </si>
  <si>
    <t>SR750.540</t>
  </si>
  <si>
    <t>SR750.550</t>
  </si>
  <si>
    <t>SR750.560</t>
  </si>
  <si>
    <t>SR750.570</t>
  </si>
  <si>
    <t>SR750.580</t>
  </si>
  <si>
    <t>SR750.5525</t>
  </si>
  <si>
    <t>SR750.5530</t>
  </si>
  <si>
    <t>SR750.5535</t>
  </si>
  <si>
    <t>SR750.5540</t>
  </si>
  <si>
    <t>SR750.5550</t>
  </si>
  <si>
    <t>SR750.5560</t>
  </si>
  <si>
    <t>SR750.5570</t>
  </si>
  <si>
    <t>SR750.5580</t>
  </si>
  <si>
    <t>SR750.625</t>
  </si>
  <si>
    <t>SR750.630</t>
  </si>
  <si>
    <t>SR750.635</t>
  </si>
  <si>
    <t>SR750.640</t>
  </si>
  <si>
    <t>SR750.650</t>
  </si>
  <si>
    <t>SR750.660</t>
  </si>
  <si>
    <t>SR750.670</t>
  </si>
  <si>
    <t>SR750.680</t>
  </si>
  <si>
    <t>SR750.6525</t>
  </si>
  <si>
    <t>SR750.6530</t>
  </si>
  <si>
    <t>SR750.6535</t>
  </si>
  <si>
    <t>SR750.6540</t>
  </si>
  <si>
    <t>SR750.6550</t>
  </si>
  <si>
    <t>SR750.6560</t>
  </si>
  <si>
    <t>SR750.6570</t>
  </si>
  <si>
    <t>SR750.6580</t>
  </si>
  <si>
    <t>SR750.725</t>
  </si>
  <si>
    <t>SR750.730</t>
  </si>
  <si>
    <t>SR750.735</t>
  </si>
  <si>
    <t>SR750.740</t>
  </si>
  <si>
    <t>SR750.750</t>
  </si>
  <si>
    <t>SR750.760</t>
  </si>
  <si>
    <t>SR750.770</t>
  </si>
  <si>
    <t>SR750.780</t>
  </si>
  <si>
    <t>SR750.7525</t>
  </si>
  <si>
    <t>SR750.7530</t>
  </si>
  <si>
    <t>SR750.7535</t>
  </si>
  <si>
    <t>SR750.7540</t>
  </si>
  <si>
    <t>SR750.7550</t>
  </si>
  <si>
    <t>SR750.7560</t>
  </si>
  <si>
    <t>SR750.7570</t>
  </si>
  <si>
    <t>SR750.7580</t>
  </si>
  <si>
    <t>SR750.825</t>
  </si>
  <si>
    <t>SR750.830</t>
  </si>
  <si>
    <t>SR750.835</t>
  </si>
  <si>
    <t>SR750.840</t>
  </si>
  <si>
    <t>SR750.850</t>
  </si>
  <si>
    <t>SR750.860</t>
  </si>
  <si>
    <t>SR750.870</t>
  </si>
  <si>
    <t>SR750.880</t>
  </si>
  <si>
    <t>SR1000.540</t>
  </si>
  <si>
    <t>SR1000.550</t>
  </si>
  <si>
    <t>SR1000.560</t>
  </si>
  <si>
    <t>SR1000.570</t>
  </si>
  <si>
    <t>SR1000.580</t>
  </si>
  <si>
    <t>SR1000.590</t>
  </si>
  <si>
    <t>SR1000.5100</t>
  </si>
  <si>
    <t>SR1000.5110</t>
  </si>
  <si>
    <t>SR1000.5540</t>
  </si>
  <si>
    <t>SR1000.5550</t>
  </si>
  <si>
    <t>SR1000.5560</t>
  </si>
  <si>
    <t>SR1000.5570</t>
  </si>
  <si>
    <t>SR1000.5580</t>
  </si>
  <si>
    <t>SR1000.5590</t>
  </si>
  <si>
    <t>SR1000.55100</t>
  </si>
  <si>
    <t>SR1000.55110</t>
  </si>
  <si>
    <t>SR1000.640</t>
  </si>
  <si>
    <t>SR1000.650</t>
  </si>
  <si>
    <t>SR1000.660</t>
  </si>
  <si>
    <t>SR1000.670</t>
  </si>
  <si>
    <t>SR1000.680</t>
  </si>
  <si>
    <t>SR1000.690</t>
  </si>
  <si>
    <t>SR1000.6100</t>
  </si>
  <si>
    <t>SR1000.6110</t>
  </si>
  <si>
    <t>SR1000.6540</t>
  </si>
  <si>
    <t>SR1000.6550</t>
  </si>
  <si>
    <t>SR1000.6560</t>
  </si>
  <si>
    <t>SR1000.6570</t>
  </si>
  <si>
    <t>SR1000.6580</t>
  </si>
  <si>
    <t>SR1000.6590</t>
  </si>
  <si>
    <t>SR1000.65100</t>
  </si>
  <si>
    <t>SR1000.65110</t>
  </si>
  <si>
    <t>SR1000.740</t>
  </si>
  <si>
    <t>SR1000.750</t>
  </si>
  <si>
    <t>SR1000.760</t>
  </si>
  <si>
    <t>SR1000.770</t>
  </si>
  <si>
    <t>SR1000.780</t>
  </si>
  <si>
    <t>SR1000.790</t>
  </si>
  <si>
    <t>SR1000.7100</t>
  </si>
  <si>
    <t>SR1000.7110</t>
  </si>
  <si>
    <t>SR1000.7540</t>
  </si>
  <si>
    <t>SR1000.7550</t>
  </si>
  <si>
    <t>SR1000.7560</t>
  </si>
  <si>
    <t>SR1000.7570</t>
  </si>
  <si>
    <t>SR1000.7580</t>
  </si>
  <si>
    <t>SR1000.7590</t>
  </si>
  <si>
    <t>SR1000.75100</t>
  </si>
  <si>
    <t>SR1000.75110</t>
  </si>
  <si>
    <t>SR1000.840</t>
  </si>
  <si>
    <t>SR1000.850</t>
  </si>
  <si>
    <t>SR1000.860</t>
  </si>
  <si>
    <t>SR1000.870</t>
  </si>
  <si>
    <t>SR1000.880</t>
  </si>
  <si>
    <t>SR1000.890</t>
  </si>
  <si>
    <t>SR1000.8100</t>
  </si>
  <si>
    <t>SR1000.8110</t>
  </si>
  <si>
    <t>SR1000.8540</t>
  </si>
  <si>
    <t>SR1000.8550</t>
  </si>
  <si>
    <t>SR1000.8560</t>
  </si>
  <si>
    <t>SR1000.8570</t>
  </si>
  <si>
    <t>SR1000.8580</t>
  </si>
  <si>
    <t>SR1000.8590</t>
  </si>
  <si>
    <t>SR1000.85100</t>
  </si>
  <si>
    <t>SR1000.85110</t>
  </si>
  <si>
    <t>SR1000.940</t>
  </si>
  <si>
    <t>SR1000.950</t>
  </si>
  <si>
    <t>SR1000.960</t>
  </si>
  <si>
    <t>SR1000.970</t>
  </si>
  <si>
    <t>SR1000.980</t>
  </si>
  <si>
    <t>SR1000.990</t>
  </si>
  <si>
    <t>SR1000.9100</t>
  </si>
  <si>
    <t>SR1000.9110</t>
  </si>
  <si>
    <t>SR100150</t>
  </si>
  <si>
    <t>SR100160</t>
  </si>
  <si>
    <t>SR100170</t>
  </si>
  <si>
    <t>SR100180</t>
  </si>
  <si>
    <t>SR100190</t>
  </si>
  <si>
    <t>SR1001100</t>
  </si>
  <si>
    <t>SR1001110</t>
  </si>
  <si>
    <t>Check delivery pipe size, is it undersized?</t>
  </si>
  <si>
    <t>Is there a filter that requires cleaning or servicing?</t>
  </si>
  <si>
    <t>Check pivot pipe size, is it undersized?</t>
  </si>
  <si>
    <t>Are all nozzle sizes correct?</t>
  </si>
  <si>
    <t>Are there any fittings causing constrictions?</t>
  </si>
  <si>
    <t>Pressure deficit at end of pivot - this will be causing poor application uniformity</t>
  </si>
  <si>
    <t>Do all sprinklers have a nozzle?</t>
  </si>
  <si>
    <t>Pump efficiency low</t>
  </si>
  <si>
    <t>Are all valves on the delivery line or centre tower fully open?</t>
  </si>
  <si>
    <t>Are regulators working correctly (if over 10 years old consider replacing)?</t>
  </si>
  <si>
    <t>Has pipe internal surface deteriorate due to age, water quality or use of additives?</t>
  </si>
  <si>
    <t>Is there excessive headloss in the delivery line or pivot - correct these first?</t>
  </si>
  <si>
    <t>Is there a problem with the pump (cavitation, worn impeller etc)?</t>
  </si>
  <si>
    <t>Is the pump size correct and operating close to its Best Efficiency Point?</t>
  </si>
  <si>
    <t>If an end gun is fitted, was the system designed to include an end gun?</t>
  </si>
  <si>
    <t>If fitted is the VSD, can the speed be reduced?</t>
  </si>
  <si>
    <t>Consider installing a VSD to reduced operating pressure (consider in relation to pump duty point)?</t>
  </si>
  <si>
    <t>Consult your supplier about altering system capacity to reduce pressure (consider in relation to pump duty point)?</t>
  </si>
  <si>
    <t>Is the pump correctly sized for the system?</t>
  </si>
  <si>
    <t>Are all drive belts tight?</t>
  </si>
  <si>
    <t>Is a booster pump fitted to the end gun and working correctly?</t>
  </si>
  <si>
    <t>Check units on pressure gauge at the end of system.</t>
  </si>
  <si>
    <t>Re-check pressure at the end of system.</t>
  </si>
  <si>
    <t>Check units on pressure gauge at centre tower and end of system.</t>
  </si>
  <si>
    <t>Re-check pressure at the centre tower and end of system.</t>
  </si>
  <si>
    <t>Check units on pressure gauge at pump and centre tower.</t>
  </si>
  <si>
    <t>Re-check pressure at the pump and base with a new gauge.</t>
  </si>
  <si>
    <t>Has pipe internal surface deteriorate due to age, water quality or use of additives - inspect inside delivery pipe and consider pigging.</t>
  </si>
  <si>
    <t>Delivery line friction loss excessive – this will increase pumping costs.</t>
  </si>
  <si>
    <t>Are there any major leaks in the delivery line?</t>
  </si>
  <si>
    <t>Consider replacing delivery line with a larger size pipe.</t>
  </si>
  <si>
    <t>Pivot friction loss excessive – this will increase pumping costs.</t>
  </si>
  <si>
    <t>Are there any major leaks in the pivot pipe?</t>
  </si>
  <si>
    <t>Is system capacity excessive (greater than 16 mm/day)?</t>
  </si>
  <si>
    <t>If fitted, is the VSD running at the correct speed?</t>
  </si>
  <si>
    <t>Excessive pressure at end of pivot – this will increase pumping costs.</t>
  </si>
  <si>
    <t>Is the pump operating close to its Best Efficiency Point?</t>
  </si>
  <si>
    <t>Consult you electrician to determine if there is any problem with the motor.</t>
  </si>
  <si>
    <t>End gun system capacity is lower than the rest of the system - this will be causing poor application uniformity</t>
  </si>
  <si>
    <t>Check that the end gun is fitted with the best sized nozzle.</t>
  </si>
  <si>
    <t>Can pressure at the end of the system be increased to improve system capacity (this will increase pumping costs)?</t>
  </si>
  <si>
    <t>Consider removing the end gun to reduce pumping costs and improve application uniformity.</t>
  </si>
  <si>
    <t>Flow rate</t>
  </si>
  <si>
    <t>If you delivery line is longer that your pivot length plus 50m (ie you have multiple pivots on delivery line, or water supply point/pump is further from pivot), then frictionloss could be higher than expected.</t>
  </si>
  <si>
    <t>Is the pivot the only user of power on this meter (bores, other pumps, endgun, increasing power use)</t>
  </si>
  <si>
    <t>R55i VT</t>
  </si>
  <si>
    <t>End Spray</t>
  </si>
  <si>
    <t>Throw</t>
  </si>
  <si>
    <t>inches</t>
  </si>
  <si>
    <t>none</t>
  </si>
  <si>
    <t>EG</t>
  </si>
  <si>
    <t>Length</t>
  </si>
  <si>
    <t xml:space="preserve">Flow </t>
  </si>
  <si>
    <t>EG area</t>
  </si>
  <si>
    <t>SC</t>
  </si>
  <si>
    <t>l/s</t>
  </si>
  <si>
    <t>with booster</t>
  </si>
  <si>
    <t>no booster</t>
  </si>
  <si>
    <t>SR101+</t>
  </si>
  <si>
    <t>SR150</t>
  </si>
  <si>
    <t>Twin101Ultra</t>
  </si>
  <si>
    <t>Twin140+</t>
  </si>
  <si>
    <t>Twin140Ultra</t>
  </si>
  <si>
    <t>Twin160</t>
  </si>
  <si>
    <t>Twin202+</t>
  </si>
  <si>
    <t>Twin202Ultra</t>
  </si>
  <si>
    <t>X100-51H18</t>
  </si>
  <si>
    <t>X100-51H24</t>
  </si>
  <si>
    <t>X100-51L18</t>
  </si>
  <si>
    <t>X100-51L24</t>
  </si>
  <si>
    <t>EndSpray</t>
  </si>
  <si>
    <t>TwinMax18</t>
  </si>
  <si>
    <t>Table2</t>
  </si>
  <si>
    <t>Table3</t>
  </si>
  <si>
    <t>Table4</t>
  </si>
  <si>
    <t>Table5</t>
  </si>
  <si>
    <t>Table6</t>
  </si>
  <si>
    <t>Table7</t>
  </si>
  <si>
    <t>Table8</t>
  </si>
  <si>
    <t>Table9</t>
  </si>
  <si>
    <t>Table10</t>
  </si>
  <si>
    <t>Table11</t>
  </si>
  <si>
    <t>Table12</t>
  </si>
  <si>
    <t>Table13</t>
  </si>
  <si>
    <t>endgunxnozzle</t>
  </si>
  <si>
    <t>Min pressure</t>
  </si>
  <si>
    <t>Max pressure</t>
  </si>
  <si>
    <t>min</t>
  </si>
  <si>
    <t>max</t>
  </si>
  <si>
    <t>Pivot boom length</t>
  </si>
  <si>
    <t>/ML</t>
  </si>
  <si>
    <t>Head loss</t>
  </si>
  <si>
    <t>Delivery line</t>
  </si>
  <si>
    <t>Machine boom</t>
  </si>
  <si>
    <t>/year</t>
  </si>
  <si>
    <t>Current</t>
  </si>
  <si>
    <t>Target</t>
  </si>
  <si>
    <t>Saving</t>
  </si>
  <si>
    <t>Under machine</t>
  </si>
  <si>
    <t>Location</t>
  </si>
  <si>
    <t>Pressure (m)</t>
  </si>
  <si>
    <t xml:space="preserve">Head loss (m/100m) </t>
  </si>
  <si>
    <t>Energy use (kW)</t>
  </si>
  <si>
    <t>% of energy use</t>
  </si>
  <si>
    <t>Energy cost ($/ML)</t>
  </si>
  <si>
    <t>Annual energy costs ($/year)</t>
  </si>
  <si>
    <t>kWh/ML/m or L diesel/ML/m</t>
  </si>
  <si>
    <t>Annual saving ($)</t>
  </si>
  <si>
    <t>Static head</t>
  </si>
  <si>
    <t>Main line</t>
  </si>
  <si>
    <t>Pump inefficiency</t>
  </si>
  <si>
    <t>Motor inefficiency</t>
  </si>
  <si>
    <t>TOTAL</t>
  </si>
  <si>
    <t>Lift above pump to pivot base</t>
  </si>
  <si>
    <t>Pressure at base</t>
  </si>
  <si>
    <t>Pivot boom</t>
  </si>
  <si>
    <t>Lift above base to sprinklers</t>
  </si>
  <si>
    <t>kW</t>
  </si>
  <si>
    <t>Addition to regulator pressure</t>
  </si>
  <si>
    <t>Drive inefficiency</t>
  </si>
  <si>
    <t>ML/year</t>
  </si>
  <si>
    <t>Pumping efficiency</t>
  </si>
  <si>
    <t>Annual energy use (kWh/year or L diesel/year)</t>
  </si>
  <si>
    <t>Correction if system already good</t>
  </si>
  <si>
    <t>Other efficiency opportunities</t>
  </si>
  <si>
    <t>Potential</t>
  </si>
  <si>
    <t>unit</t>
  </si>
  <si>
    <t>Drive efficiency</t>
  </si>
  <si>
    <t>Calculations</t>
  </si>
  <si>
    <t>Lists</t>
  </si>
  <si>
    <t>Diesel to kWh</t>
  </si>
  <si>
    <t>kWh/L diesel</t>
  </si>
  <si>
    <t>Annual water use</t>
  </si>
  <si>
    <t>Endgun pressure</t>
  </si>
  <si>
    <t>kL</t>
  </si>
  <si>
    <t>kWh</t>
  </si>
  <si>
    <t>Start</t>
  </si>
  <si>
    <t>End</t>
  </si>
  <si>
    <t>Duration</t>
  </si>
  <si>
    <t>minutes</t>
  </si>
  <si>
    <t>kW or L diesel/hour</t>
  </si>
  <si>
    <t>Circle portion</t>
  </si>
  <si>
    <t>degrees</t>
  </si>
  <si>
    <t>Motor details</t>
  </si>
  <si>
    <t>Motor size</t>
  </si>
  <si>
    <t xml:space="preserve">Motor efficiency </t>
  </si>
  <si>
    <t>Motor load</t>
  </si>
  <si>
    <t>Drive type</t>
  </si>
  <si>
    <t>Direct</t>
  </si>
  <si>
    <t>Gear</t>
  </si>
  <si>
    <t>Belt</t>
  </si>
  <si>
    <t>L diesel/h</t>
  </si>
  <si>
    <t>L diesel</t>
  </si>
  <si>
    <t>Area</t>
  </si>
  <si>
    <t>Poor</t>
  </si>
  <si>
    <t>Good</t>
  </si>
  <si>
    <t>Excellent</t>
  </si>
  <si>
    <t>Check inputs</t>
  </si>
  <si>
    <t>Endgun flow rate</t>
  </si>
  <si>
    <t>Booster pump pressure</t>
  </si>
  <si>
    <t>Towers</t>
  </si>
  <si>
    <t>L/s</t>
  </si>
  <si>
    <t>Booster pump energy use</t>
  </si>
  <si>
    <t>Booster pump efficiency</t>
  </si>
  <si>
    <t>Booster motor efficiency</t>
  </si>
  <si>
    <t>Wheel tower power consumption</t>
  </si>
  <si>
    <t>Tower drive motor efficiency</t>
  </si>
  <si>
    <t>Wheel tower drive</t>
  </si>
  <si>
    <t>Electric drive</t>
  </si>
  <si>
    <t>Separate power source</t>
  </si>
  <si>
    <t>Pump efficiency rating</t>
  </si>
  <si>
    <t>Target electric motor efficiency</t>
  </si>
  <si>
    <t>Target diesel motor efficiency</t>
  </si>
  <si>
    <t>Target HL (m)</t>
  </si>
  <si>
    <t>Target delivery head loss</t>
  </si>
  <si>
    <t>Target suction friction loss</t>
  </si>
  <si>
    <t>Target pivot head loss</t>
  </si>
  <si>
    <t>/L</t>
  </si>
  <si>
    <t>/kWh</t>
  </si>
  <si>
    <t>Endgun system capacity tolerance</t>
  </si>
  <si>
    <t>Potential savings</t>
  </si>
  <si>
    <t>Endgun lower limit</t>
  </si>
  <si>
    <t>Endgun upper limit</t>
  </si>
  <si>
    <t>kWh or L diesel/ML/m</t>
  </si>
  <si>
    <t>Wheel tower motor size</t>
  </si>
  <si>
    <t>Number of wheel towers</t>
  </si>
  <si>
    <t>towers</t>
  </si>
  <si>
    <t>Improved system</t>
  </si>
  <si>
    <t>Current system</t>
  </si>
  <si>
    <t>distance from pump to pivot edge</t>
  </si>
  <si>
    <t>Further inputs and assumptions</t>
  </si>
  <si>
    <t>within range?</t>
  </si>
  <si>
    <t>Endgun range min</t>
  </si>
  <si>
    <t>Endgun range max</t>
  </si>
  <si>
    <t>Mainline head loss tolerance</t>
  </si>
  <si>
    <t>of target</t>
  </si>
  <si>
    <t>Mainline head loss excessive?</t>
  </si>
  <si>
    <t>Endgun within data range?</t>
  </si>
  <si>
    <t xml:space="preserve">Warning: Endgun pressure outside of data range. Throw distance may be inaccurate. </t>
  </si>
  <si>
    <t>Warning: Motor is underloaded. Motor efficiency may be lower than manufacturer's rating</t>
  </si>
  <si>
    <t>Endgun SC close to pivot SC?</t>
  </si>
  <si>
    <t>Note: Drive efficiency could be improved if pump and motor are reconfigured as direct drive.</t>
  </si>
  <si>
    <t>Travel speed setting</t>
  </si>
  <si>
    <t>% of use</t>
  </si>
  <si>
    <t>Motor and drive efficiency</t>
  </si>
  <si>
    <t>Warning: There is a pressure gain in the pivot. Check pressure measurements, units, and lift from pivot base to end of pivot.</t>
  </si>
  <si>
    <t>Negative pressure difference mainline?</t>
  </si>
  <si>
    <t>Negative pressure difference pivot?</t>
  </si>
  <si>
    <t>Help - data input</t>
  </si>
  <si>
    <t>SYSTEM ANALYSIS</t>
  </si>
  <si>
    <t>Help - interpretation</t>
  </si>
  <si>
    <t>Savings</t>
  </si>
  <si>
    <t>COST to correct^</t>
  </si>
  <si>
    <t>^Note: Total potential savings are reduced because residual pressure should be increased to improve uniformity.</t>
  </si>
  <si>
    <t>Motor is running at &gt;50% load. Motor efficiency should be close to rating.</t>
  </si>
  <si>
    <t>Total potential savings</t>
  </si>
  <si>
    <t>Help</t>
  </si>
  <si>
    <t>Annual summary</t>
  </si>
  <si>
    <t>Have bills</t>
  </si>
  <si>
    <t>Do you have ENERGY BILLS for the irrigation pump?</t>
  </si>
  <si>
    <t>Yes</t>
  </si>
  <si>
    <t>Do you have WATER BILLS to get water use data?</t>
  </si>
  <si>
    <t>Usage</t>
  </si>
  <si>
    <t>How would you like to input your diesel use data?</t>
  </si>
  <si>
    <t>Input method</t>
  </si>
  <si>
    <t>No</t>
  </si>
  <si>
    <t>Can you estimate diesel costs and usage?</t>
  </si>
  <si>
    <t>Estimate</t>
  </si>
  <si>
    <t>Input data</t>
  </si>
  <si>
    <t>Estimate data</t>
  </si>
  <si>
    <t>Annually</t>
  </si>
  <si>
    <t>Quarterly</t>
  </si>
  <si>
    <t>Monthly</t>
  </si>
  <si>
    <t>Diesel consumption</t>
  </si>
  <si>
    <t>Water</t>
  </si>
  <si>
    <t>How would you like to input your electricity data?</t>
  </si>
  <si>
    <t>Annual amount</t>
  </si>
  <si>
    <t>Q1 amount</t>
  </si>
  <si>
    <t>Jan</t>
  </si>
  <si>
    <t>Go to TAB: Step 2</t>
  </si>
  <si>
    <t>Electricity meter data</t>
  </si>
  <si>
    <t>Can you estimate electricity costs and usage?</t>
  </si>
  <si>
    <t>Q2 amount</t>
  </si>
  <si>
    <t>Feb</t>
  </si>
  <si>
    <t>Benchmarks</t>
  </si>
  <si>
    <t>Q3 amount</t>
  </si>
  <si>
    <t>Mar</t>
  </si>
  <si>
    <t>Q4 amount</t>
  </si>
  <si>
    <t>Apr</t>
  </si>
  <si>
    <t>Avg tariff rate</t>
  </si>
  <si>
    <t>May</t>
  </si>
  <si>
    <t>Pumping cost</t>
  </si>
  <si>
    <t xml:space="preserve">/ML  </t>
  </si>
  <si>
    <t>Jun</t>
  </si>
  <si>
    <t>Jul</t>
  </si>
  <si>
    <t>Aug</t>
  </si>
  <si>
    <t>Sept</t>
  </si>
  <si>
    <t>Oct</t>
  </si>
  <si>
    <t>Nov</t>
  </si>
  <si>
    <t>Dec</t>
  </si>
  <si>
    <t>How would you like to input your water data?</t>
  </si>
  <si>
    <t>Can you estimate water cost and usage?</t>
  </si>
  <si>
    <t>Total head</t>
  </si>
  <si>
    <t>Variable head</t>
  </si>
  <si>
    <t>total</t>
  </si>
  <si>
    <t>Irrigator</t>
  </si>
  <si>
    <t>Static</t>
  </si>
  <si>
    <t>Pipe + fittings</t>
  </si>
  <si>
    <t>Pump</t>
  </si>
  <si>
    <t>Motor</t>
  </si>
  <si>
    <t>smallest to largest</t>
  </si>
  <si>
    <t>kWh/ ML</t>
  </si>
  <si>
    <t>$/ML (elec)</t>
  </si>
  <si>
    <t>$/ML (diesel)</t>
  </si>
  <si>
    <t>use</t>
  </si>
  <si>
    <t>system type</t>
  </si>
  <si>
    <t>Your system</t>
  </si>
  <si>
    <t xml:space="preserve"> </t>
  </si>
  <si>
    <t>Pivot</t>
  </si>
  <si>
    <t>Bike shift</t>
  </si>
  <si>
    <t>Drip</t>
  </si>
  <si>
    <t>Bike Shift</t>
  </si>
  <si>
    <t>Solid set</t>
  </si>
  <si>
    <t>K-line</t>
  </si>
  <si>
    <t>Side roll</t>
  </si>
  <si>
    <t>Micrspray</t>
  </si>
  <si>
    <t>Hard hose</t>
  </si>
  <si>
    <t>Lateral move</t>
  </si>
  <si>
    <t>Traveller</t>
  </si>
  <si>
    <t>Solid Set</t>
  </si>
  <si>
    <t>Micrsprays</t>
  </si>
  <si>
    <t>Hard Hose</t>
  </si>
  <si>
    <t>Hardhose</t>
  </si>
  <si>
    <t>Step 1 - Benchmark your energy use</t>
  </si>
  <si>
    <t>Step 2 - Detailed analysis</t>
  </si>
  <si>
    <t>Or input flow rate</t>
  </si>
  <si>
    <t>Flow rate to use</t>
  </si>
  <si>
    <t>L diesel/year</t>
  </si>
  <si>
    <t>kWh/year</t>
  </si>
  <si>
    <t>Annual energy use</t>
  </si>
  <si>
    <t>Annual energy costs</t>
  </si>
  <si>
    <t>System analysis report</t>
  </si>
  <si>
    <t>Energy use (kW or L diesel/hr)</t>
  </si>
  <si>
    <t>Target energy use (kW or L diesel/hr)</t>
  </si>
  <si>
    <t>Each row different formula</t>
  </si>
  <si>
    <t>Power (P2)</t>
  </si>
  <si>
    <t>Energy use (P1) (excluding towers and booster)</t>
  </si>
  <si>
    <t>Total energy use (inc towers and booster)</t>
  </si>
  <si>
    <t>Total energy use</t>
  </si>
  <si>
    <t xml:space="preserve">Warning: Delivery line head loss is excessive. </t>
  </si>
  <si>
    <t>Delivery line pressure loss okay</t>
  </si>
  <si>
    <t>Warning: There is a pressure gain in the delivery line. Check pressure measurements, units, and lift from pump to pivot base.</t>
  </si>
  <si>
    <t>Meter K value</t>
  </si>
  <si>
    <t>Energy Costs (inc. towers and booster pump)</t>
  </si>
  <si>
    <t>Pump duty (current)</t>
  </si>
  <si>
    <t>Potential energy cost</t>
  </si>
  <si>
    <t>Alternative method of calc savings</t>
  </si>
  <si>
    <t>Warning: Motor is overloaded. Check energy use data and motor size!</t>
  </si>
  <si>
    <t>et22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</si>
</sst>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44" formatCode="_-&quot;$&quot;* #,##0.00_-;\-&quot;$&quot;* #,##0.00_-;_-&quot;$&quot;* &quot;-&quot;??_-;_-@_-"/>
    <numFmt numFmtId="43" formatCode="_-* #,##0.00_-;\-* #,##0.00_-;_-* &quot;-&quot;??_-;_-@_-"/>
    <numFmt numFmtId="164" formatCode="_-&quot;$&quot;* #,##0_-;\-&quot;$&quot;* #,##0_-;_-&quot;$&quot;* &quot;-&quot;??_-;_-@_-"/>
    <numFmt numFmtId="165" formatCode="0.0"/>
    <numFmt numFmtId="166" formatCode="0.000"/>
    <numFmt numFmtId="167" formatCode="0\ &quot;%&quot;"/>
    <numFmt numFmtId="168" formatCode="_-* #,##0_-;\-* #,##0_-;_-* &quot;-&quot;??_-;_-@_-"/>
    <numFmt numFmtId="169" formatCode="0\ %"/>
    <numFmt numFmtId="170" formatCode="0.00000"/>
    <numFmt numFmtId="171" formatCode="_-&quot;$&quot;* #,##0.00;\-&quot;$&quot;* #,##0.00;_-&quot;$&quot;* &quot;-&quot;??_-;_-@_-"/>
    <numFmt numFmtId="172" formatCode="_-&quot;$&quot;* #,##0;\-&quot;$&quot;* #,##0;_-&quot;$&quot;* &quot;-&quot;??_-;_-@_-"/>
    <numFmt numFmtId="173" formatCode="_-* #,##0.0_-;\-* #,##0.0_-;_-* &quot;-&quot;??_-;_-@_-"/>
  </numFmts>
  <fonts count="39"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b/>
      <sz val="14"/>
      <color theme="1"/>
      <name val="Calibri"/>
      <family val="2"/>
      <scheme val="minor"/>
    </font>
    <font>
      <b/>
      <sz val="12"/>
      <color theme="1"/>
      <name val="Calibri"/>
      <family val="2"/>
      <scheme val="minor"/>
    </font>
    <font>
      <sz val="10"/>
      <name val="Arial"/>
      <family val="2"/>
    </font>
    <font>
      <sz val="11"/>
      <color rgb="FF000000"/>
      <name val="Calibri"/>
      <family val="2"/>
      <scheme val="minor"/>
    </font>
    <font>
      <sz val="9"/>
      <color theme="1"/>
      <name val="Calibri"/>
      <family val="2"/>
      <scheme val="minor"/>
    </font>
    <font>
      <sz val="10"/>
      <color theme="1"/>
      <name val="Arial"/>
      <family val="2"/>
    </font>
    <font>
      <sz val="8"/>
      <name val="Calibri"/>
      <family val="2"/>
      <scheme val="minor"/>
    </font>
    <font>
      <sz val="8"/>
      <color rgb="FF000000"/>
      <name val="Calibri"/>
      <family val="2"/>
      <scheme val="minor"/>
    </font>
    <font>
      <sz val="12"/>
      <color theme="1" tint="0.14999847407452621"/>
      <name val="Calibri"/>
      <family val="2"/>
      <scheme val="minor"/>
    </font>
    <font>
      <sz val="11"/>
      <color theme="1" tint="4.9989318521683403E-2"/>
      <name val="Calibri"/>
      <family val="2"/>
      <scheme val="minor"/>
    </font>
    <font>
      <b/>
      <sz val="10"/>
      <color theme="1"/>
      <name val="Arial"/>
      <family val="2"/>
    </font>
    <font>
      <b/>
      <sz val="11"/>
      <color rgb="FFFF0000"/>
      <name val="Calibri"/>
      <family val="2"/>
      <scheme val="minor"/>
    </font>
    <font>
      <sz val="11"/>
      <color rgb="FF006100"/>
      <name val="Calibri"/>
      <family val="2"/>
      <scheme val="minor"/>
    </font>
    <font>
      <b/>
      <sz val="11"/>
      <color theme="0"/>
      <name val="Calibri"/>
      <family val="2"/>
      <scheme val="minor"/>
    </font>
    <font>
      <sz val="11"/>
      <name val="Calibri"/>
      <family val="2"/>
      <scheme val="minor"/>
    </font>
    <font>
      <sz val="11"/>
      <color theme="0" tint="-0.249977111117893"/>
      <name val="Calibri"/>
      <family val="2"/>
      <scheme val="minor"/>
    </font>
    <font>
      <sz val="11"/>
      <color theme="1"/>
      <name val="Arial"/>
      <family val="2"/>
    </font>
    <font>
      <b/>
      <sz val="9"/>
      <color indexed="81"/>
      <name val="Tahoma"/>
      <family val="2"/>
    </font>
    <font>
      <sz val="10"/>
      <color theme="1"/>
      <name val="Calibri"/>
      <family val="2"/>
      <scheme val="minor"/>
    </font>
    <font>
      <b/>
      <sz val="14"/>
      <color rgb="FFFF0000"/>
      <name val="Calibri"/>
      <family val="2"/>
      <scheme val="minor"/>
    </font>
    <font>
      <sz val="11"/>
      <color rgb="FF9C5700"/>
      <name val="Calibri"/>
      <family val="2"/>
      <scheme val="minor"/>
    </font>
    <font>
      <sz val="11"/>
      <color rgb="FF9C0006"/>
      <name val="Calibri"/>
      <family val="2"/>
      <scheme val="minor"/>
    </font>
    <font>
      <sz val="10"/>
      <color rgb="FF9C0006"/>
      <name val="Calibri"/>
      <family val="2"/>
      <scheme val="minor"/>
    </font>
    <font>
      <sz val="10"/>
      <color rgb="FF9C5700"/>
      <name val="Calibri"/>
      <family val="2"/>
      <scheme val="minor"/>
    </font>
    <font>
      <sz val="9"/>
      <color indexed="81"/>
      <name val="Tahoma"/>
      <family val="2"/>
    </font>
    <font>
      <sz val="11"/>
      <color theme="4"/>
      <name val="Calibri"/>
      <family val="2"/>
      <scheme val="minor"/>
    </font>
    <font>
      <b/>
      <sz val="11"/>
      <name val="Calibri"/>
      <family val="2"/>
      <scheme val="minor"/>
    </font>
    <font>
      <b/>
      <sz val="13"/>
      <name val="Calibri"/>
      <family val="2"/>
      <scheme val="minor"/>
    </font>
    <font>
      <b/>
      <sz val="13"/>
      <color rgb="FFFF0000"/>
      <name val="Calibri"/>
      <family val="2"/>
      <scheme val="minor"/>
    </font>
    <font>
      <sz val="13"/>
      <color theme="1"/>
      <name val="Calibri"/>
      <family val="2"/>
      <scheme val="minor"/>
    </font>
    <font>
      <b/>
      <sz val="10"/>
      <color theme="1"/>
      <name val="Calibri"/>
      <family val="2"/>
      <scheme val="minor"/>
    </font>
    <font>
      <sz val="8"/>
      <color theme="1"/>
      <name val="Calibri"/>
      <family val="2"/>
      <scheme val="minor"/>
    </font>
    <font>
      <u/>
      <sz val="11"/>
      <color theme="10"/>
      <name val="Calibri"/>
      <family val="2"/>
      <scheme val="minor"/>
    </font>
    <font>
      <sz val="11"/>
      <color theme="0" tint="-4.9989318521683403E-2"/>
      <name val="Calibri"/>
      <family val="2"/>
      <scheme val="minor"/>
    </font>
  </fonts>
  <fills count="22">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rgb="FFD8BEEC"/>
        <bgColor indexed="64"/>
      </patternFill>
    </fill>
    <fill>
      <patternFill patternType="solid">
        <fgColor rgb="FFC6EFCE"/>
      </patternFill>
    </fill>
    <fill>
      <patternFill patternType="solid">
        <fgColor theme="0" tint="-0.34998626667073579"/>
        <bgColor indexed="64"/>
      </patternFill>
    </fill>
    <fill>
      <patternFill patternType="solid">
        <fgColor rgb="FFFFEB9C"/>
      </patternFill>
    </fill>
    <fill>
      <patternFill patternType="solid">
        <fgColor rgb="FFFFC7CE"/>
      </patternFill>
    </fill>
    <fill>
      <patternFill patternType="solid">
        <fgColor rgb="FFFF33CC"/>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rgb="FFFFFF00"/>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5" tint="0.3999755851924192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theme="4" tint="0.39997558519241921"/>
      </bottom>
      <diagonal/>
    </border>
    <border>
      <left style="thin">
        <color theme="4" tint="0.39997558519241921"/>
      </left>
      <right style="thin">
        <color theme="4" tint="0.39997558519241921"/>
      </right>
      <top/>
      <bottom style="thin">
        <color theme="4" tint="0.39997558519241921"/>
      </bottom>
      <diagonal/>
    </border>
    <border>
      <left style="double">
        <color indexed="64"/>
      </left>
      <right/>
      <top/>
      <bottom/>
      <diagonal/>
    </border>
    <border>
      <left/>
      <right style="double">
        <color indexed="64"/>
      </right>
      <top/>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s>
  <cellStyleXfs count="10">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7" fillId="0" borderId="0"/>
    <xf numFmtId="0" fontId="17" fillId="10" borderId="0" applyNumberFormat="0" applyBorder="0" applyAlignment="0" applyProtection="0"/>
    <xf numFmtId="0" fontId="1" fillId="0" borderId="0"/>
    <xf numFmtId="0" fontId="25" fillId="12" borderId="0" applyNumberFormat="0" applyBorder="0" applyAlignment="0" applyProtection="0"/>
    <xf numFmtId="0" fontId="26" fillId="13" borderId="0" applyNumberFormat="0" applyBorder="0" applyAlignment="0" applyProtection="0"/>
    <xf numFmtId="0" fontId="37" fillId="0" borderId="0" applyNumberFormat="0" applyFill="0" applyBorder="0" applyAlignment="0" applyProtection="0"/>
  </cellStyleXfs>
  <cellXfs count="412">
    <xf numFmtId="0" fontId="0" fillId="0" borderId="0" xfId="0"/>
    <xf numFmtId="0" fontId="0" fillId="0" borderId="0" xfId="0" applyProtection="1"/>
    <xf numFmtId="0" fontId="0" fillId="0" borderId="0" xfId="0" applyFont="1" applyBorder="1" applyProtection="1"/>
    <xf numFmtId="44" fontId="0" fillId="4" borderId="0" xfId="0" applyNumberFormat="1" applyFont="1" applyFill="1" applyBorder="1" applyAlignment="1" applyProtection="1">
      <alignment horizontal="left"/>
    </xf>
    <xf numFmtId="0" fontId="0" fillId="0" borderId="0" xfId="0" applyFont="1" applyFill="1" applyBorder="1" applyProtection="1"/>
    <xf numFmtId="2" fontId="0" fillId="0" borderId="0" xfId="0" applyNumberFormat="1"/>
    <xf numFmtId="0" fontId="0" fillId="0" borderId="0" xfId="0" applyAlignment="1">
      <alignment horizontal="left"/>
    </xf>
    <xf numFmtId="0" fontId="9" fillId="0" borderId="0" xfId="0" applyFont="1" applyProtection="1"/>
    <xf numFmtId="0" fontId="7" fillId="0" borderId="0" xfId="0" applyFont="1"/>
    <xf numFmtId="0" fontId="7" fillId="0" borderId="0" xfId="0" applyFont="1" applyAlignment="1">
      <alignment horizontal="left"/>
    </xf>
    <xf numFmtId="2" fontId="7" fillId="0" borderId="0" xfId="0" applyNumberFormat="1" applyFont="1"/>
    <xf numFmtId="0" fontId="0" fillId="0" borderId="0" xfId="0" applyAlignment="1">
      <alignment horizontal="left" indent="1"/>
    </xf>
    <xf numFmtId="0" fontId="10" fillId="8" borderId="14" xfId="0" applyFont="1" applyFill="1" applyBorder="1"/>
    <xf numFmtId="0" fontId="10" fillId="0" borderId="14" xfId="0" applyFont="1" applyBorder="1"/>
    <xf numFmtId="0" fontId="10" fillId="0" borderId="13" xfId="0" applyFont="1" applyBorder="1"/>
    <xf numFmtId="0" fontId="10" fillId="0" borderId="13" xfId="0" applyFont="1" applyBorder="1" applyProtection="1"/>
    <xf numFmtId="0" fontId="7" fillId="0" borderId="13" xfId="0" applyFont="1" applyBorder="1" applyProtection="1"/>
    <xf numFmtId="0" fontId="12" fillId="0" borderId="0" xfId="0" applyFont="1" applyAlignment="1">
      <alignment vertical="center"/>
    </xf>
    <xf numFmtId="0" fontId="12" fillId="0" borderId="0" xfId="0" applyFont="1" applyAlignment="1">
      <alignment horizontal="right" vertical="center"/>
    </xf>
    <xf numFmtId="0" fontId="13" fillId="0" borderId="0" xfId="0" applyFont="1" applyFill="1" applyBorder="1" applyProtection="1"/>
    <xf numFmtId="0" fontId="13" fillId="0" borderId="0" xfId="0" applyFont="1" applyBorder="1" applyProtection="1"/>
    <xf numFmtId="0" fontId="13" fillId="0" borderId="0" xfId="0" applyFont="1" applyBorder="1"/>
    <xf numFmtId="0" fontId="13" fillId="0" borderId="0" xfId="0" applyFont="1" applyFill="1" applyBorder="1"/>
    <xf numFmtId="0" fontId="14" fillId="0" borderId="0" xfId="0" applyFont="1" applyFill="1" applyProtection="1"/>
    <xf numFmtId="0" fontId="14" fillId="0" borderId="0" xfId="0" applyFont="1"/>
    <xf numFmtId="0" fontId="14" fillId="0" borderId="0" xfId="0" applyFont="1" applyProtection="1"/>
    <xf numFmtId="2" fontId="13" fillId="0" borderId="0" xfId="0" applyNumberFormat="1" applyFont="1" applyBorder="1"/>
    <xf numFmtId="2" fontId="13" fillId="0" borderId="0" xfId="0" applyNumberFormat="1" applyFont="1" applyFill="1" applyBorder="1" applyProtection="1"/>
    <xf numFmtId="0" fontId="15" fillId="0" borderId="0" xfId="0" applyFont="1"/>
    <xf numFmtId="0" fontId="15" fillId="0" borderId="13" xfId="0" applyFont="1" applyBorder="1"/>
    <xf numFmtId="0" fontId="15" fillId="8" borderId="13" xfId="0" applyFont="1" applyFill="1" applyBorder="1"/>
    <xf numFmtId="166" fontId="14" fillId="0" borderId="0" xfId="0" applyNumberFormat="1" applyFont="1"/>
    <xf numFmtId="165" fontId="14" fillId="0" borderId="0" xfId="0" applyNumberFormat="1" applyFont="1"/>
    <xf numFmtId="2" fontId="14" fillId="0" borderId="0" xfId="0" applyNumberFormat="1" applyFont="1"/>
    <xf numFmtId="0" fontId="2" fillId="4" borderId="0" xfId="0" applyFont="1" applyFill="1" applyAlignment="1" applyProtection="1">
      <alignment horizontal="center"/>
    </xf>
    <xf numFmtId="0" fontId="0" fillId="0" borderId="0" xfId="0" applyFont="1" applyProtection="1"/>
    <xf numFmtId="0" fontId="0" fillId="0" borderId="0" xfId="0" applyFont="1" applyAlignment="1" applyProtection="1">
      <alignment wrapText="1"/>
    </xf>
    <xf numFmtId="0" fontId="0" fillId="0" borderId="0" xfId="0" applyFont="1" applyFill="1" applyProtection="1"/>
    <xf numFmtId="0" fontId="0" fillId="0" borderId="5" xfId="0" applyFont="1" applyBorder="1" applyProtection="1"/>
    <xf numFmtId="0" fontId="0" fillId="0" borderId="0" xfId="0" applyFont="1" applyBorder="1" applyAlignment="1" applyProtection="1"/>
    <xf numFmtId="0" fontId="0" fillId="0" borderId="0" xfId="0" applyFont="1" applyFill="1" applyAlignment="1" applyProtection="1"/>
    <xf numFmtId="0" fontId="0" fillId="0" borderId="0" xfId="0" applyFont="1" applyAlignment="1" applyProtection="1"/>
    <xf numFmtId="0" fontId="2" fillId="7" borderId="4" xfId="0" applyFont="1" applyFill="1" applyBorder="1" applyAlignment="1" applyProtection="1"/>
    <xf numFmtId="0" fontId="2" fillId="7" borderId="3" xfId="0" applyFont="1" applyFill="1" applyBorder="1" applyAlignment="1" applyProtection="1"/>
    <xf numFmtId="0" fontId="0" fillId="6" borderId="7" xfId="0" applyFont="1" applyFill="1" applyBorder="1" applyAlignment="1" applyProtection="1">
      <protection locked="0"/>
    </xf>
    <xf numFmtId="165" fontId="0" fillId="0" borderId="0" xfId="0" applyNumberFormat="1" applyFont="1" applyFill="1" applyAlignment="1" applyProtection="1"/>
    <xf numFmtId="0" fontId="20" fillId="0" borderId="0" xfId="0" applyFont="1" applyFill="1" applyProtection="1"/>
    <xf numFmtId="0" fontId="0" fillId="3" borderId="0" xfId="0" applyNumberFormat="1" applyFont="1" applyFill="1" applyBorder="1" applyAlignment="1" applyProtection="1">
      <protection locked="0"/>
    </xf>
    <xf numFmtId="0" fontId="0" fillId="0" borderId="0" xfId="0" applyFont="1" applyFill="1" applyAlignment="1" applyProtection="1">
      <alignment horizontal="center"/>
    </xf>
    <xf numFmtId="0" fontId="0" fillId="3" borderId="8" xfId="0" applyFont="1" applyFill="1" applyBorder="1" applyAlignment="1" applyProtection="1">
      <protection locked="0"/>
    </xf>
    <xf numFmtId="0" fontId="0" fillId="0" borderId="0" xfId="0" applyFont="1" applyFill="1" applyBorder="1" applyAlignment="1" applyProtection="1"/>
    <xf numFmtId="0" fontId="0" fillId="0" borderId="0" xfId="0" applyFont="1" applyAlignment="1" applyProtection="1">
      <alignment horizontal="left"/>
    </xf>
    <xf numFmtId="164" fontId="0" fillId="0" borderId="0" xfId="1" applyNumberFormat="1" applyFont="1" applyProtection="1"/>
    <xf numFmtId="0" fontId="0" fillId="0" borderId="0" xfId="0" applyFont="1" applyAlignment="1" applyProtection="1">
      <alignment horizontal="right"/>
    </xf>
    <xf numFmtId="0" fontId="0" fillId="0" borderId="0" xfId="2" applyNumberFormat="1" applyFont="1" applyProtection="1"/>
    <xf numFmtId="2" fontId="0" fillId="0" borderId="0" xfId="0" applyNumberFormat="1" applyFont="1" applyProtection="1"/>
    <xf numFmtId="0" fontId="21" fillId="0" borderId="13" xfId="0" applyFont="1" applyBorder="1" applyProtection="1"/>
    <xf numFmtId="0" fontId="0" fillId="4" borderId="0" xfId="0" applyFont="1" applyFill="1" applyAlignment="1" applyProtection="1">
      <alignment horizontal="right"/>
    </xf>
    <xf numFmtId="0" fontId="0" fillId="4" borderId="0" xfId="0" applyFont="1" applyFill="1" applyAlignment="1" applyProtection="1"/>
    <xf numFmtId="165" fontId="0" fillId="3" borderId="1" xfId="0" applyNumberFormat="1" applyFont="1" applyFill="1" applyBorder="1" applyProtection="1">
      <protection locked="0"/>
    </xf>
    <xf numFmtId="0" fontId="0" fillId="6" borderId="0" xfId="0" applyFont="1" applyFill="1" applyBorder="1" applyProtection="1">
      <protection locked="0"/>
    </xf>
    <xf numFmtId="0" fontId="0" fillId="0" borderId="0" xfId="0" applyFont="1" applyFill="1" applyAlignment="1" applyProtection="1">
      <alignment horizontal="right"/>
    </xf>
    <xf numFmtId="0" fontId="0" fillId="3" borderId="0" xfId="0" applyFont="1" applyFill="1" applyBorder="1" applyAlignment="1" applyProtection="1">
      <protection locked="0"/>
    </xf>
    <xf numFmtId="0" fontId="0" fillId="4" borderId="0" xfId="0" applyFont="1" applyFill="1" applyAlignment="1" applyProtection="1">
      <alignment horizontal="center"/>
    </xf>
    <xf numFmtId="166" fontId="0" fillId="4" borderId="0" xfId="0" applyNumberFormat="1" applyFont="1" applyFill="1" applyAlignment="1" applyProtection="1">
      <alignment horizontal="right"/>
    </xf>
    <xf numFmtId="44" fontId="0" fillId="4" borderId="0" xfId="0" applyNumberFormat="1" applyFont="1" applyFill="1" applyAlignment="1" applyProtection="1">
      <alignment horizontal="left"/>
    </xf>
    <xf numFmtId="165" fontId="0" fillId="4" borderId="0" xfId="0" applyNumberFormat="1" applyFont="1" applyFill="1" applyProtection="1"/>
    <xf numFmtId="44" fontId="0" fillId="4" borderId="0" xfId="0" applyNumberFormat="1" applyFont="1" applyFill="1" applyAlignment="1" applyProtection="1">
      <alignment horizontal="right"/>
    </xf>
    <xf numFmtId="166" fontId="0" fillId="4" borderId="0" xfId="0" applyNumberFormat="1" applyFont="1" applyFill="1" applyAlignment="1" applyProtection="1">
      <alignment horizontal="left"/>
    </xf>
    <xf numFmtId="1" fontId="0" fillId="4" borderId="0" xfId="0" applyNumberFormat="1" applyFont="1" applyFill="1" applyAlignment="1" applyProtection="1">
      <alignment horizontal="right"/>
    </xf>
    <xf numFmtId="44" fontId="0" fillId="4" borderId="0" xfId="0" applyNumberFormat="1" applyFont="1" applyFill="1" applyBorder="1" applyAlignment="1" applyProtection="1">
      <alignment horizontal="right"/>
    </xf>
    <xf numFmtId="165" fontId="0" fillId="4" borderId="0" xfId="0" applyNumberFormat="1" applyFont="1" applyFill="1" applyAlignment="1" applyProtection="1">
      <alignment horizontal="right"/>
    </xf>
    <xf numFmtId="1" fontId="0" fillId="4" borderId="0" xfId="0" applyNumberFormat="1" applyFont="1" applyFill="1" applyAlignment="1" applyProtection="1">
      <alignment horizontal="left"/>
    </xf>
    <xf numFmtId="165" fontId="0" fillId="4" borderId="0" xfId="0" applyNumberFormat="1" applyFont="1" applyFill="1" applyAlignment="1" applyProtection="1">
      <alignment horizontal="left"/>
    </xf>
    <xf numFmtId="0" fontId="0" fillId="6" borderId="0" xfId="0" applyFont="1" applyFill="1" applyBorder="1" applyAlignment="1" applyProtection="1">
      <protection locked="0"/>
    </xf>
    <xf numFmtId="0" fontId="0" fillId="3" borderId="6" xfId="0" applyNumberFormat="1" applyFont="1" applyFill="1" applyBorder="1" applyAlignment="1" applyProtection="1">
      <alignment horizontal="right"/>
      <protection locked="0"/>
    </xf>
    <xf numFmtId="0" fontId="0" fillId="0" borderId="0" xfId="0" applyFont="1" applyBorder="1" applyAlignment="1" applyProtection="1">
      <alignment wrapText="1"/>
    </xf>
    <xf numFmtId="0" fontId="3" fillId="0" borderId="0" xfId="0" applyFont="1" applyFill="1" applyAlignment="1" applyProtection="1"/>
    <xf numFmtId="0" fontId="8" fillId="0" borderId="0" xfId="0" applyFont="1" applyFill="1" applyAlignment="1" applyProtection="1"/>
    <xf numFmtId="0" fontId="8" fillId="0" borderId="0" xfId="0" applyFont="1" applyAlignment="1" applyProtection="1"/>
    <xf numFmtId="0" fontId="0" fillId="2" borderId="0" xfId="0" applyFont="1" applyFill="1" applyProtection="1"/>
    <xf numFmtId="0" fontId="0" fillId="0" borderId="0" xfId="3" applyNumberFormat="1" applyFont="1" applyAlignment="1" applyProtection="1">
      <alignment horizontal="right"/>
    </xf>
    <xf numFmtId="0" fontId="0" fillId="0" borderId="0" xfId="0" applyFont="1" applyAlignment="1" applyProtection="1">
      <alignment vertical="top"/>
    </xf>
    <xf numFmtId="0" fontId="3" fillId="0" borderId="0" xfId="0" applyFont="1" applyAlignment="1" applyProtection="1"/>
    <xf numFmtId="0" fontId="0" fillId="2" borderId="0" xfId="0" applyFont="1" applyFill="1" applyAlignment="1" applyProtection="1"/>
    <xf numFmtId="0" fontId="0" fillId="2" borderId="0" xfId="0" applyFont="1" applyFill="1" applyAlignment="1" applyProtection="1">
      <alignment horizontal="right"/>
    </xf>
    <xf numFmtId="2" fontId="0" fillId="2" borderId="0" xfId="0" applyNumberFormat="1" applyFont="1" applyFill="1" applyProtection="1"/>
    <xf numFmtId="0" fontId="3" fillId="0" borderId="0" xfId="0" applyFont="1" applyFill="1" applyAlignment="1" applyProtection="1">
      <alignment vertical="top"/>
    </xf>
    <xf numFmtId="0" fontId="2" fillId="11" borderId="12" xfId="0" applyFont="1" applyFill="1" applyBorder="1" applyAlignment="1" applyProtection="1"/>
    <xf numFmtId="0" fontId="0" fillId="6" borderId="9" xfId="0" applyFont="1" applyFill="1" applyBorder="1" applyAlignment="1" applyProtection="1">
      <alignment horizontal="right"/>
      <protection locked="0"/>
    </xf>
    <xf numFmtId="0" fontId="2" fillId="11" borderId="9" xfId="0" applyFont="1" applyFill="1" applyBorder="1" applyAlignment="1" applyProtection="1"/>
    <xf numFmtId="0" fontId="2" fillId="11" borderId="3" xfId="0" applyFont="1" applyFill="1" applyBorder="1" applyAlignment="1" applyProtection="1"/>
    <xf numFmtId="0" fontId="0" fillId="7" borderId="2" xfId="3" applyNumberFormat="1" applyFont="1" applyFill="1" applyBorder="1" applyAlignment="1" applyProtection="1">
      <alignment horizontal="left"/>
    </xf>
    <xf numFmtId="0" fontId="0" fillId="7" borderId="7" xfId="3" applyNumberFormat="1" applyFont="1" applyFill="1" applyBorder="1" applyAlignment="1" applyProtection="1">
      <alignment horizontal="left"/>
    </xf>
    <xf numFmtId="0" fontId="0" fillId="3" borderId="0" xfId="0" applyFill="1" applyAlignment="1" applyProtection="1">
      <alignment vertical="center"/>
      <protection locked="0"/>
    </xf>
    <xf numFmtId="0" fontId="0" fillId="4" borderId="0" xfId="0" applyNumberFormat="1" applyFont="1" applyFill="1" applyAlignment="1" applyProtection="1">
      <alignment horizontal="right"/>
    </xf>
    <xf numFmtId="0" fontId="0" fillId="0" borderId="4" xfId="0" applyFont="1" applyBorder="1" applyProtection="1"/>
    <xf numFmtId="0" fontId="0" fillId="0" borderId="9" xfId="0" applyFont="1" applyBorder="1" applyProtection="1"/>
    <xf numFmtId="0" fontId="0" fillId="0" borderId="3" xfId="0" applyFont="1" applyBorder="1" applyProtection="1"/>
    <xf numFmtId="9" fontId="0" fillId="0" borderId="0" xfId="2" applyFont="1" applyFill="1" applyBorder="1" applyAlignment="1" applyProtection="1">
      <alignment horizontal="right"/>
    </xf>
    <xf numFmtId="168" fontId="0" fillId="0" borderId="0" xfId="3" applyNumberFormat="1" applyFont="1" applyBorder="1" applyAlignment="1" applyProtection="1">
      <alignment horizontal="right" vertical="center"/>
    </xf>
    <xf numFmtId="164" fontId="0" fillId="9" borderId="0" xfId="1" applyNumberFormat="1" applyFont="1" applyFill="1" applyBorder="1" applyAlignment="1" applyProtection="1">
      <alignment horizontal="right"/>
    </xf>
    <xf numFmtId="43" fontId="0" fillId="5" borderId="0" xfId="3" applyFont="1" applyFill="1" applyBorder="1" applyAlignment="1" applyProtection="1">
      <alignment horizontal="right"/>
    </xf>
    <xf numFmtId="165" fontId="0" fillId="0" borderId="0" xfId="0" applyNumberFormat="1" applyFont="1" applyAlignment="1" applyProtection="1"/>
    <xf numFmtId="0" fontId="0" fillId="0" borderId="6" xfId="0" applyFont="1" applyBorder="1" applyProtection="1"/>
    <xf numFmtId="0" fontId="0" fillId="0" borderId="8" xfId="0" applyFont="1" applyBorder="1" applyProtection="1"/>
    <xf numFmtId="165" fontId="16" fillId="2" borderId="8" xfId="0" applyNumberFormat="1" applyFont="1" applyFill="1" applyBorder="1" applyAlignment="1" applyProtection="1">
      <alignment horizontal="right"/>
    </xf>
    <xf numFmtId="0" fontId="0" fillId="7" borderId="5" xfId="0" applyFill="1" applyBorder="1" applyAlignment="1" applyProtection="1">
      <alignment horizontal="left" indent="1"/>
    </xf>
    <xf numFmtId="0" fontId="0" fillId="7" borderId="2" xfId="0" applyFill="1" applyBorder="1" applyAlignment="1" applyProtection="1">
      <alignment horizontal="left"/>
    </xf>
    <xf numFmtId="0" fontId="0" fillId="7" borderId="2" xfId="0" applyFill="1" applyBorder="1" applyAlignment="1" applyProtection="1">
      <alignment vertical="center"/>
    </xf>
    <xf numFmtId="0" fontId="9" fillId="7" borderId="2" xfId="0" applyFont="1" applyFill="1" applyBorder="1" applyAlignment="1" applyProtection="1">
      <alignment vertical="center"/>
    </xf>
    <xf numFmtId="0" fontId="0" fillId="7" borderId="6" xfId="0" applyFill="1" applyBorder="1" applyAlignment="1" applyProtection="1">
      <alignment horizontal="left" indent="1"/>
    </xf>
    <xf numFmtId="1" fontId="17" fillId="10" borderId="8" xfId="5" applyNumberFormat="1" applyBorder="1" applyAlignment="1" applyProtection="1">
      <alignment horizontal="right"/>
    </xf>
    <xf numFmtId="0" fontId="0" fillId="7" borderId="7" xfId="0" applyFill="1" applyBorder="1" applyAlignment="1" applyProtection="1">
      <alignment horizontal="left"/>
    </xf>
    <xf numFmtId="0" fontId="3" fillId="0" borderId="0" xfId="0" applyFont="1" applyAlignment="1" applyProtection="1">
      <alignment vertical="center"/>
    </xf>
    <xf numFmtId="0" fontId="3" fillId="0" borderId="0" xfId="0" applyFont="1" applyAlignment="1" applyProtection="1">
      <alignment horizontal="left" vertical="top"/>
    </xf>
    <xf numFmtId="0" fontId="18" fillId="0" borderId="0" xfId="0" applyFont="1" applyFill="1" applyAlignment="1" applyProtection="1">
      <alignment vertical="center"/>
    </xf>
    <xf numFmtId="0" fontId="8" fillId="0" borderId="0" xfId="0" applyFont="1" applyAlignment="1" applyProtection="1">
      <alignment vertical="center"/>
    </xf>
    <xf numFmtId="0" fontId="18" fillId="0" borderId="0" xfId="0" applyFont="1" applyAlignment="1" applyProtection="1">
      <alignment horizontal="left" vertical="center"/>
    </xf>
    <xf numFmtId="0" fontId="8" fillId="0" borderId="0" xfId="0" applyFont="1" applyAlignment="1" applyProtection="1">
      <alignment horizontal="left" vertical="top"/>
    </xf>
    <xf numFmtId="0" fontId="8" fillId="0" borderId="0" xfId="0" applyFont="1" applyAlignment="1" applyProtection="1">
      <alignment horizontal="right" vertical="top"/>
    </xf>
    <xf numFmtId="2" fontId="16" fillId="2" borderId="0" xfId="0" applyNumberFormat="1" applyFont="1" applyFill="1" applyAlignment="1" applyProtection="1">
      <alignment horizontal="right"/>
    </xf>
    <xf numFmtId="171" fontId="0" fillId="3" borderId="8" xfId="1" applyNumberFormat="1" applyFont="1" applyFill="1" applyBorder="1" applyAlignment="1" applyProtection="1">
      <protection locked="0"/>
    </xf>
    <xf numFmtId="169" fontId="16" fillId="2" borderId="0" xfId="2" applyNumberFormat="1" applyFont="1" applyFill="1" applyAlignment="1" applyProtection="1"/>
    <xf numFmtId="0" fontId="0" fillId="7" borderId="5" xfId="0" applyFont="1" applyFill="1" applyBorder="1" applyAlignment="1" applyProtection="1"/>
    <xf numFmtId="0" fontId="0" fillId="7" borderId="6" xfId="0" applyFont="1" applyFill="1" applyBorder="1" applyAlignment="1" applyProtection="1"/>
    <xf numFmtId="0" fontId="0" fillId="7" borderId="2" xfId="0" applyFont="1" applyFill="1" applyBorder="1" applyAlignment="1" applyProtection="1"/>
    <xf numFmtId="0" fontId="6" fillId="11" borderId="11" xfId="0" applyFont="1" applyFill="1" applyBorder="1" applyAlignment="1" applyProtection="1"/>
    <xf numFmtId="0" fontId="6" fillId="11" borderId="12" xfId="0" applyFont="1" applyFill="1" applyBorder="1" applyAlignment="1" applyProtection="1"/>
    <xf numFmtId="0" fontId="6" fillId="11" borderId="10" xfId="0" applyFont="1" applyFill="1" applyBorder="1" applyAlignment="1" applyProtection="1"/>
    <xf numFmtId="0" fontId="6" fillId="11" borderId="4" xfId="0" applyFont="1" applyFill="1" applyBorder="1" applyAlignment="1" applyProtection="1"/>
    <xf numFmtId="0" fontId="2" fillId="7" borderId="5" xfId="0" applyFont="1" applyFill="1" applyBorder="1" applyAlignment="1" applyProtection="1">
      <alignment horizontal="left" indent="1"/>
    </xf>
    <xf numFmtId="0" fontId="2" fillId="7" borderId="4" xfId="0" applyFont="1" applyFill="1" applyBorder="1" applyAlignment="1" applyProtection="1">
      <alignment horizontal="left" indent="1"/>
    </xf>
    <xf numFmtId="0" fontId="2" fillId="7" borderId="6" xfId="0" applyFont="1" applyFill="1" applyBorder="1" applyAlignment="1" applyProtection="1">
      <alignment horizontal="left" indent="1"/>
    </xf>
    <xf numFmtId="0" fontId="6" fillId="11" borderId="10" xfId="0" applyFont="1" applyFill="1" applyBorder="1" applyAlignment="1" applyProtection="1">
      <alignment horizontal="center"/>
    </xf>
    <xf numFmtId="0" fontId="6" fillId="11" borderId="9" xfId="0" applyFont="1" applyFill="1" applyBorder="1" applyAlignment="1" applyProtection="1"/>
    <xf numFmtId="0" fontId="2" fillId="7" borderId="9" xfId="0" applyFont="1" applyFill="1" applyBorder="1" applyAlignment="1" applyProtection="1">
      <alignment horizontal="left" indent="1"/>
    </xf>
    <xf numFmtId="0" fontId="2" fillId="7" borderId="0" xfId="0" applyFont="1" applyFill="1" applyBorder="1" applyAlignment="1" applyProtection="1">
      <alignment horizontal="left" indent="1"/>
    </xf>
    <xf numFmtId="0" fontId="2" fillId="7" borderId="8" xfId="0" applyFont="1" applyFill="1" applyBorder="1" applyAlignment="1" applyProtection="1">
      <alignment horizontal="left" indent="1"/>
    </xf>
    <xf numFmtId="0" fontId="0" fillId="7" borderId="0" xfId="0" applyFill="1" applyBorder="1" applyAlignment="1" applyProtection="1">
      <alignment horizontal="left" indent="1"/>
    </xf>
    <xf numFmtId="0" fontId="2" fillId="7" borderId="0" xfId="0" applyFont="1" applyFill="1" applyBorder="1" applyAlignment="1" applyProtection="1">
      <alignment horizontal="left" wrapText="1" indent="1"/>
    </xf>
    <xf numFmtId="0" fontId="23" fillId="7" borderId="0" xfId="0" applyFont="1" applyFill="1" applyBorder="1" applyAlignment="1" applyProtection="1">
      <alignment horizontal="left" wrapText="1" indent="1"/>
    </xf>
    <xf numFmtId="0" fontId="0" fillId="7" borderId="8" xfId="0" applyFill="1" applyBorder="1" applyAlignment="1" applyProtection="1">
      <alignment horizontal="left" indent="1"/>
    </xf>
    <xf numFmtId="0" fontId="23" fillId="7" borderId="5" xfId="0" applyFont="1" applyFill="1" applyBorder="1" applyAlignment="1" applyProtection="1">
      <alignment horizontal="left" indent="1"/>
    </xf>
    <xf numFmtId="0" fontId="0" fillId="3" borderId="9" xfId="0" applyFont="1" applyFill="1" applyBorder="1" applyAlignment="1" applyProtection="1">
      <protection locked="0"/>
    </xf>
    <xf numFmtId="0" fontId="0" fillId="7" borderId="3" xfId="3" applyNumberFormat="1" applyFont="1" applyFill="1" applyBorder="1" applyAlignment="1" applyProtection="1">
      <alignment horizontal="left"/>
    </xf>
    <xf numFmtId="0" fontId="0" fillId="3" borderId="0" xfId="0" applyFont="1" applyFill="1" applyAlignment="1" applyProtection="1">
      <protection locked="0"/>
    </xf>
    <xf numFmtId="0" fontId="0" fillId="3" borderId="0" xfId="0" applyFont="1" applyFill="1" applyProtection="1">
      <protection locked="0"/>
    </xf>
    <xf numFmtId="0" fontId="5" fillId="7" borderId="11" xfId="0" applyFont="1" applyFill="1" applyBorder="1" applyAlignment="1" applyProtection="1"/>
    <xf numFmtId="0" fontId="5" fillId="7" borderId="12" xfId="0" applyFont="1" applyFill="1" applyBorder="1" applyAlignment="1" applyProtection="1"/>
    <xf numFmtId="0" fontId="5" fillId="7" borderId="12" xfId="0" applyFont="1" applyFill="1" applyBorder="1" applyAlignment="1" applyProtection="1">
      <alignment horizontal="right"/>
    </xf>
    <xf numFmtId="0" fontId="5" fillId="7" borderId="10" xfId="0" applyFont="1" applyFill="1" applyBorder="1" applyAlignment="1" applyProtection="1"/>
    <xf numFmtId="0" fontId="0" fillId="6" borderId="2" xfId="0" applyFont="1" applyFill="1" applyBorder="1" applyAlignment="1" applyProtection="1">
      <protection locked="0"/>
    </xf>
    <xf numFmtId="44" fontId="0" fillId="2" borderId="0" xfId="1" applyFont="1" applyFill="1" applyProtection="1"/>
    <xf numFmtId="0" fontId="2" fillId="7" borderId="9" xfId="0" applyFont="1" applyFill="1" applyBorder="1" applyAlignment="1" applyProtection="1"/>
    <xf numFmtId="167" fontId="19" fillId="3" borderId="0" xfId="2" applyNumberFormat="1" applyFont="1" applyFill="1" applyBorder="1" applyAlignment="1" applyProtection="1">
      <protection locked="0"/>
    </xf>
    <xf numFmtId="0" fontId="6" fillId="11" borderId="12" xfId="0" applyFont="1" applyFill="1" applyBorder="1" applyAlignment="1" applyProtection="1">
      <alignment horizontal="left"/>
    </xf>
    <xf numFmtId="165" fontId="0" fillId="3" borderId="0" xfId="0" applyNumberFormat="1" applyFont="1" applyFill="1" applyProtection="1">
      <protection locked="0"/>
    </xf>
    <xf numFmtId="0" fontId="0" fillId="3" borderId="0" xfId="0" applyFill="1" applyProtection="1">
      <protection locked="0"/>
    </xf>
    <xf numFmtId="9" fontId="0" fillId="3" borderId="0" xfId="0" applyNumberFormat="1" applyFont="1" applyFill="1" applyAlignment="1" applyProtection="1">
      <alignment horizontal="right"/>
      <protection locked="0"/>
    </xf>
    <xf numFmtId="9" fontId="0" fillId="3" borderId="0" xfId="0" applyNumberFormat="1" applyFont="1" applyFill="1" applyProtection="1">
      <protection locked="0"/>
    </xf>
    <xf numFmtId="167" fontId="16" fillId="7" borderId="0" xfId="2" applyNumberFormat="1" applyFont="1" applyFill="1" applyBorder="1" applyAlignment="1" applyProtection="1"/>
    <xf numFmtId="44" fontId="16" fillId="2" borderId="8" xfId="0" applyNumberFormat="1" applyFont="1" applyFill="1" applyBorder="1" applyAlignment="1" applyProtection="1"/>
    <xf numFmtId="0" fontId="0" fillId="3" borderId="0" xfId="0" applyFont="1" applyFill="1" applyBorder="1" applyAlignment="1" applyProtection="1">
      <alignment horizontal="right"/>
      <protection locked="0"/>
    </xf>
    <xf numFmtId="0" fontId="0" fillId="6" borderId="0" xfId="0" applyFont="1" applyFill="1" applyBorder="1" applyAlignment="1" applyProtection="1">
      <alignment horizontal="right"/>
      <protection locked="0"/>
    </xf>
    <xf numFmtId="0" fontId="16" fillId="2" borderId="8" xfId="0" applyFont="1" applyFill="1" applyBorder="1" applyAlignment="1" applyProtection="1">
      <alignment horizontal="right"/>
    </xf>
    <xf numFmtId="44" fontId="16" fillId="2" borderId="0" xfId="0" applyNumberFormat="1" applyFont="1" applyFill="1" applyBorder="1" applyAlignment="1" applyProtection="1"/>
    <xf numFmtId="0" fontId="0" fillId="3" borderId="6" xfId="0" applyFont="1" applyFill="1" applyBorder="1" applyAlignment="1" applyProtection="1">
      <protection locked="0"/>
    </xf>
    <xf numFmtId="2" fontId="16" fillId="2" borderId="0" xfId="0" applyNumberFormat="1" applyFont="1" applyFill="1" applyBorder="1" applyAlignment="1" applyProtection="1"/>
    <xf numFmtId="5" fontId="0" fillId="7" borderId="8" xfId="0" applyNumberFormat="1" applyFont="1" applyFill="1" applyBorder="1" applyAlignment="1" applyProtection="1"/>
    <xf numFmtId="0" fontId="16" fillId="2" borderId="9" xfId="0" applyFont="1" applyFill="1" applyBorder="1" applyAlignment="1" applyProtection="1">
      <alignment horizontal="right"/>
    </xf>
    <xf numFmtId="0" fontId="16" fillId="2" borderId="0" xfId="0" applyNumberFormat="1" applyFont="1" applyFill="1" applyBorder="1" applyAlignment="1" applyProtection="1"/>
    <xf numFmtId="171" fontId="16" fillId="2" borderId="8" xfId="1" applyNumberFormat="1" applyFont="1" applyFill="1" applyBorder="1" applyAlignment="1" applyProtection="1"/>
    <xf numFmtId="0" fontId="16" fillId="2" borderId="0" xfId="0" applyFont="1" applyFill="1" applyBorder="1" applyAlignment="1" applyProtection="1">
      <alignment horizontal="right"/>
    </xf>
    <xf numFmtId="0" fontId="16" fillId="2" borderId="0" xfId="0" applyFont="1" applyFill="1" applyAlignment="1" applyProtection="1">
      <alignment vertical="center"/>
    </xf>
    <xf numFmtId="167" fontId="16" fillId="2" borderId="0" xfId="2" applyNumberFormat="1" applyFont="1" applyFill="1" applyBorder="1" applyAlignment="1" applyProtection="1"/>
    <xf numFmtId="0" fontId="16" fillId="2" borderId="7" xfId="0" applyFont="1" applyFill="1" applyBorder="1" applyAlignment="1" applyProtection="1"/>
    <xf numFmtId="0" fontId="16" fillId="2" borderId="2" xfId="0" applyFont="1" applyFill="1" applyBorder="1" applyAlignment="1" applyProtection="1"/>
    <xf numFmtId="0" fontId="0" fillId="7" borderId="3" xfId="0" applyFont="1" applyFill="1" applyBorder="1" applyAlignment="1" applyProtection="1"/>
    <xf numFmtId="0" fontId="0" fillId="7" borderId="7" xfId="0" applyFont="1" applyFill="1" applyBorder="1" applyAlignment="1" applyProtection="1"/>
    <xf numFmtId="1" fontId="16" fillId="2" borderId="9" xfId="0" applyNumberFormat="1" applyFont="1" applyFill="1" applyBorder="1" applyAlignment="1" applyProtection="1"/>
    <xf numFmtId="0" fontId="0" fillId="3" borderId="0" xfId="0" applyNumberFormat="1" applyFont="1" applyFill="1" applyAlignment="1" applyProtection="1">
      <protection locked="0"/>
    </xf>
    <xf numFmtId="165" fontId="16" fillId="2" borderId="8" xfId="0" applyNumberFormat="1" applyFont="1" applyFill="1" applyBorder="1" applyAlignment="1" applyProtection="1"/>
    <xf numFmtId="0" fontId="0" fillId="7" borderId="4" xfId="0" applyFont="1" applyFill="1" applyBorder="1" applyAlignment="1" applyProtection="1"/>
    <xf numFmtId="0" fontId="0" fillId="0" borderId="5" xfId="0" applyFont="1" applyBorder="1" applyAlignment="1" applyProtection="1">
      <alignment horizontal="right"/>
    </xf>
    <xf numFmtId="9" fontId="0" fillId="5" borderId="0" xfId="2" applyFont="1" applyFill="1" applyBorder="1" applyAlignment="1" applyProtection="1">
      <alignment horizontal="right"/>
    </xf>
    <xf numFmtId="0" fontId="0" fillId="0" borderId="0" xfId="0" applyAlignment="1">
      <alignment horizontal="center"/>
    </xf>
    <xf numFmtId="164" fontId="16" fillId="2" borderId="0" xfId="0" applyNumberFormat="1" applyFont="1" applyFill="1" applyBorder="1" applyAlignment="1" applyProtection="1"/>
    <xf numFmtId="164" fontId="16" fillId="2" borderId="8" xfId="0" applyNumberFormat="1" applyFont="1" applyFill="1" applyBorder="1" applyAlignment="1" applyProtection="1"/>
    <xf numFmtId="164" fontId="16" fillId="2" borderId="8" xfId="1" applyNumberFormat="1" applyFont="1" applyFill="1" applyBorder="1" applyAlignment="1" applyProtection="1"/>
    <xf numFmtId="0" fontId="24" fillId="0" borderId="0" xfId="0" applyFont="1" applyAlignment="1">
      <alignment vertical="center"/>
    </xf>
    <xf numFmtId="0" fontId="2" fillId="0" borderId="0" xfId="0" applyFont="1"/>
    <xf numFmtId="0" fontId="6" fillId="0" borderId="0" xfId="0" applyFont="1"/>
    <xf numFmtId="0" fontId="30" fillId="0" borderId="0" xfId="0" applyFont="1" applyAlignment="1">
      <alignment horizontal="center"/>
    </xf>
    <xf numFmtId="0" fontId="0" fillId="0" borderId="0" xfId="0" applyAlignment="1">
      <alignment wrapText="1"/>
    </xf>
    <xf numFmtId="0" fontId="16" fillId="0" borderId="0" xfId="0" applyFont="1" applyAlignment="1">
      <alignment horizontal="center"/>
    </xf>
    <xf numFmtId="0" fontId="0" fillId="0" borderId="16" xfId="0" applyBorder="1"/>
    <xf numFmtId="0" fontId="0" fillId="14" borderId="17" xfId="0" applyFill="1" applyBorder="1" applyAlignment="1">
      <alignment horizontal="center" vertical="center"/>
    </xf>
    <xf numFmtId="0" fontId="0" fillId="0" borderId="15" xfId="0" applyBorder="1"/>
    <xf numFmtId="0" fontId="0" fillId="16" borderId="0" xfId="0" applyFill="1" applyAlignment="1" applyProtection="1">
      <alignment horizontal="center" vertical="center"/>
      <protection locked="0"/>
    </xf>
    <xf numFmtId="0" fontId="5" fillId="0" borderId="0" xfId="0" applyFont="1" applyAlignment="1">
      <alignment horizontal="center" vertical="center"/>
    </xf>
    <xf numFmtId="0" fontId="0" fillId="0" borderId="0" xfId="0" applyAlignment="1">
      <alignment vertical="center"/>
    </xf>
    <xf numFmtId="0" fontId="0" fillId="7" borderId="0" xfId="0" applyFill="1"/>
    <xf numFmtId="0" fontId="2" fillId="7" borderId="0" xfId="0" applyFont="1" applyFill="1"/>
    <xf numFmtId="164" fontId="16" fillId="2" borderId="0" xfId="1" applyNumberFormat="1" applyFont="1" applyFill="1" applyBorder="1" applyAlignment="1" applyProtection="1">
      <alignment horizontal="right"/>
    </xf>
    <xf numFmtId="168" fontId="16" fillId="2" borderId="0" xfId="3" applyNumberFormat="1" applyFont="1" applyFill="1" applyBorder="1" applyAlignment="1" applyProtection="1">
      <alignment horizontal="right"/>
    </xf>
    <xf numFmtId="164" fontId="16" fillId="7" borderId="0" xfId="1" applyNumberFormat="1" applyFont="1" applyFill="1" applyBorder="1" applyProtection="1"/>
    <xf numFmtId="1" fontId="16" fillId="2" borderId="0" xfId="0" applyNumberFormat="1" applyFont="1" applyFill="1"/>
    <xf numFmtId="0" fontId="2" fillId="7" borderId="0" xfId="0" applyFont="1" applyFill="1" applyAlignment="1">
      <alignment horizontal="right"/>
    </xf>
    <xf numFmtId="0" fontId="0" fillId="16" borderId="0" xfId="0" applyFill="1" applyAlignment="1" applyProtection="1">
      <alignment horizontal="center"/>
      <protection locked="0"/>
    </xf>
    <xf numFmtId="0" fontId="32" fillId="7" borderId="0" xfId="0" applyFont="1" applyFill="1" applyAlignment="1">
      <alignment horizontal="left"/>
    </xf>
    <xf numFmtId="44" fontId="33" fillId="2" borderId="0" xfId="1" applyFont="1" applyFill="1" applyBorder="1" applyAlignment="1" applyProtection="1">
      <alignment horizontal="left"/>
    </xf>
    <xf numFmtId="0" fontId="34" fillId="7" borderId="0" xfId="0" applyFont="1" applyFill="1"/>
    <xf numFmtId="0" fontId="2" fillId="7" borderId="0" xfId="0" applyFont="1" applyFill="1" applyAlignment="1">
      <alignment horizontal="right" indent="1"/>
    </xf>
    <xf numFmtId="164" fontId="0" fillId="3" borderId="0" xfId="1" applyNumberFormat="1" applyFont="1" applyFill="1" applyAlignment="1" applyProtection="1">
      <alignment horizontal="right"/>
      <protection locked="0"/>
    </xf>
    <xf numFmtId="0" fontId="0" fillId="3" borderId="0" xfId="0" applyFill="1" applyAlignment="1" applyProtection="1">
      <alignment horizontal="right"/>
      <protection locked="0"/>
    </xf>
    <xf numFmtId="0" fontId="32" fillId="7" borderId="0" xfId="0" applyFont="1" applyFill="1"/>
    <xf numFmtId="164" fontId="33" fillId="2" borderId="0" xfId="1" applyNumberFormat="1" applyFont="1" applyFill="1" applyBorder="1" applyAlignment="1" applyProtection="1">
      <alignment horizontal="left"/>
    </xf>
    <xf numFmtId="168" fontId="33" fillId="2" borderId="0" xfId="0" applyNumberFormat="1" applyFont="1" applyFill="1"/>
    <xf numFmtId="0" fontId="19" fillId="0" borderId="0" xfId="0" applyFont="1" applyAlignment="1">
      <alignment wrapText="1"/>
    </xf>
    <xf numFmtId="168" fontId="19" fillId="0" borderId="0" xfId="3" applyNumberFormat="1" applyFont="1" applyFill="1" applyBorder="1"/>
    <xf numFmtId="1" fontId="0" fillId="0" borderId="0" xfId="0" applyNumberFormat="1"/>
    <xf numFmtId="0" fontId="19" fillId="0" borderId="0" xfId="0" applyFont="1"/>
    <xf numFmtId="43" fontId="0" fillId="0" borderId="0" xfId="0" applyNumberFormat="1"/>
    <xf numFmtId="0" fontId="2" fillId="11" borderId="0" xfId="0" applyFont="1" applyFill="1"/>
    <xf numFmtId="0" fontId="0" fillId="11" borderId="0" xfId="0" applyFill="1"/>
    <xf numFmtId="0" fontId="16" fillId="2" borderId="6" xfId="0" applyFont="1" applyFill="1" applyBorder="1" applyAlignment="1" applyProtection="1"/>
    <xf numFmtId="0" fontId="16" fillId="2" borderId="8" xfId="0" applyFont="1" applyFill="1" applyBorder="1" applyAlignment="1" applyProtection="1"/>
    <xf numFmtId="0" fontId="0" fillId="7" borderId="8" xfId="0" applyFont="1" applyFill="1" applyBorder="1" applyAlignment="1" applyProtection="1"/>
    <xf numFmtId="165" fontId="16" fillId="2" borderId="9" xfId="0" applyNumberFormat="1" applyFont="1" applyFill="1" applyBorder="1" applyAlignment="1" applyProtection="1"/>
    <xf numFmtId="0" fontId="16" fillId="2" borderId="0" xfId="0" applyFont="1" applyFill="1" applyBorder="1" applyAlignment="1" applyProtection="1"/>
    <xf numFmtId="165" fontId="16" fillId="2" borderId="0" xfId="0" applyNumberFormat="1" applyFont="1" applyFill="1" applyBorder="1" applyAlignment="1" applyProtection="1"/>
    <xf numFmtId="0" fontId="0" fillId="7" borderId="0" xfId="0" applyFont="1" applyFill="1" applyBorder="1" applyAlignment="1" applyProtection="1"/>
    <xf numFmtId="0" fontId="0" fillId="2" borderId="0" xfId="0" applyFont="1" applyFill="1" applyAlignment="1" applyProtection="1">
      <alignment horizontal="center"/>
    </xf>
    <xf numFmtId="0" fontId="18" fillId="0" borderId="0" xfId="0" applyFont="1" applyAlignment="1" applyProtection="1">
      <alignment vertical="center"/>
    </xf>
    <xf numFmtId="0" fontId="16" fillId="2" borderId="9" xfId="0" applyFont="1" applyFill="1" applyBorder="1" applyAlignment="1" applyProtection="1"/>
    <xf numFmtId="1" fontId="0" fillId="0" borderId="0" xfId="0" applyNumberFormat="1" applyFont="1" applyFill="1" applyAlignment="1" applyProtection="1"/>
    <xf numFmtId="2" fontId="16" fillId="2" borderId="0" xfId="0" applyNumberFormat="1" applyFont="1" applyFill="1" applyAlignment="1" applyProtection="1">
      <alignment wrapText="1"/>
    </xf>
    <xf numFmtId="9" fontId="16" fillId="2" borderId="0" xfId="2" applyFont="1" applyFill="1" applyBorder="1" applyAlignment="1" applyProtection="1"/>
    <xf numFmtId="9" fontId="16" fillId="2" borderId="8" xfId="2" applyFont="1" applyFill="1" applyBorder="1" applyAlignment="1" applyProtection="1"/>
    <xf numFmtId="0" fontId="0" fillId="7" borderId="9" xfId="0" applyFont="1" applyFill="1" applyBorder="1" applyAlignment="1" applyProtection="1"/>
    <xf numFmtId="0" fontId="0" fillId="2" borderId="7" xfId="0" applyFill="1" applyBorder="1" applyProtection="1"/>
    <xf numFmtId="44" fontId="16" fillId="2" borderId="0" xfId="1" applyNumberFormat="1" applyFont="1" applyFill="1" applyAlignment="1" applyProtection="1">
      <alignment horizontal="right"/>
    </xf>
    <xf numFmtId="172" fontId="16" fillId="2" borderId="8" xfId="1" applyNumberFormat="1" applyFont="1" applyFill="1" applyBorder="1" applyAlignment="1" applyProtection="1"/>
    <xf numFmtId="1" fontId="16" fillId="2" borderId="0" xfId="0" applyNumberFormat="1" applyFont="1" applyFill="1" applyBorder="1" applyAlignment="1" applyProtection="1"/>
    <xf numFmtId="0" fontId="2" fillId="11" borderId="10" xfId="0" applyFont="1" applyFill="1" applyBorder="1" applyAlignment="1" applyProtection="1"/>
    <xf numFmtId="0" fontId="4" fillId="11" borderId="5" xfId="0" applyFont="1" applyFill="1" applyBorder="1" applyAlignment="1" applyProtection="1">
      <alignment vertical="center"/>
    </xf>
    <xf numFmtId="0" fontId="4" fillId="11" borderId="0" xfId="0" applyFont="1" applyFill="1" applyBorder="1" applyAlignment="1" applyProtection="1">
      <alignment vertical="center"/>
    </xf>
    <xf numFmtId="0" fontId="0" fillId="0" borderId="0" xfId="0" applyAlignment="1" applyProtection="1">
      <alignment horizontal="right"/>
    </xf>
    <xf numFmtId="170" fontId="1" fillId="0" borderId="0" xfId="6" applyNumberFormat="1" applyBorder="1" applyAlignment="1" applyProtection="1">
      <alignment horizontal="right"/>
    </xf>
    <xf numFmtId="2" fontId="1" fillId="0" borderId="0" xfId="6" applyNumberFormat="1" applyProtection="1"/>
    <xf numFmtId="170" fontId="1" fillId="0" borderId="0" xfId="6" applyNumberFormat="1" applyBorder="1" applyProtection="1"/>
    <xf numFmtId="0" fontId="0" fillId="7" borderId="3" xfId="0" applyFill="1" applyBorder="1" applyProtection="1"/>
    <xf numFmtId="0" fontId="18" fillId="0" borderId="0" xfId="0" applyFont="1" applyAlignment="1" applyProtection="1">
      <alignment vertical="center"/>
    </xf>
    <xf numFmtId="165" fontId="16" fillId="2" borderId="0" xfId="0" applyNumberFormat="1" applyFont="1" applyFill="1" applyAlignment="1" applyProtection="1">
      <alignment horizontal="right"/>
    </xf>
    <xf numFmtId="44" fontId="0" fillId="0" borderId="0" xfId="0" applyNumberFormat="1" applyFont="1" applyAlignment="1" applyProtection="1"/>
    <xf numFmtId="165" fontId="0" fillId="0" borderId="0" xfId="0" applyNumberFormat="1" applyFont="1" applyProtection="1"/>
    <xf numFmtId="1" fontId="0" fillId="0" borderId="0" xfId="0" applyNumberFormat="1" applyFont="1" applyProtection="1"/>
    <xf numFmtId="2" fontId="0" fillId="0" borderId="0" xfId="0" applyNumberFormat="1" applyFont="1" applyAlignment="1" applyProtection="1"/>
    <xf numFmtId="2" fontId="0" fillId="0" borderId="0" xfId="0" applyNumberFormat="1" applyFont="1" applyFill="1" applyProtection="1"/>
    <xf numFmtId="2" fontId="0" fillId="0" borderId="0" xfId="0" applyNumberFormat="1" applyProtection="1"/>
    <xf numFmtId="165" fontId="0" fillId="0" borderId="0" xfId="0" applyNumberFormat="1" applyFont="1" applyBorder="1" applyAlignment="1" applyProtection="1">
      <alignment horizontal="right"/>
    </xf>
    <xf numFmtId="0" fontId="0" fillId="0" borderId="0" xfId="0" applyFont="1" applyBorder="1" applyAlignment="1" applyProtection="1">
      <alignment horizontal="right"/>
    </xf>
    <xf numFmtId="2" fontId="0" fillId="0" borderId="0" xfId="0" applyNumberFormat="1" applyFont="1" applyBorder="1" applyAlignment="1" applyProtection="1">
      <alignment horizontal="right"/>
    </xf>
    <xf numFmtId="165" fontId="0" fillId="5" borderId="0" xfId="0" applyNumberFormat="1" applyFont="1" applyFill="1" applyBorder="1" applyAlignment="1" applyProtection="1">
      <alignment horizontal="right"/>
    </xf>
    <xf numFmtId="164" fontId="0" fillId="9" borderId="0" xfId="0" applyNumberFormat="1" applyFont="1" applyFill="1" applyBorder="1" applyAlignment="1" applyProtection="1">
      <alignment horizontal="right"/>
    </xf>
    <xf numFmtId="44" fontId="0" fillId="9" borderId="0" xfId="1" applyFont="1" applyFill="1" applyBorder="1" applyAlignment="1" applyProtection="1">
      <alignment horizontal="right"/>
    </xf>
    <xf numFmtId="44" fontId="0" fillId="0" borderId="0" xfId="0" applyNumberFormat="1" applyFont="1" applyBorder="1" applyAlignment="1" applyProtection="1">
      <alignment horizontal="right"/>
    </xf>
    <xf numFmtId="165" fontId="19" fillId="0" borderId="0" xfId="0" applyNumberFormat="1" applyFont="1" applyBorder="1" applyAlignment="1" applyProtection="1">
      <alignment horizontal="right"/>
    </xf>
    <xf numFmtId="43" fontId="0" fillId="17" borderId="0" xfId="3" applyFont="1" applyFill="1" applyBorder="1" applyAlignment="1" applyProtection="1">
      <alignment horizontal="right"/>
    </xf>
    <xf numFmtId="1" fontId="0" fillId="5" borderId="0" xfId="0" applyNumberFormat="1" applyFont="1" applyFill="1" applyBorder="1" applyAlignment="1" applyProtection="1">
      <alignment horizontal="right"/>
    </xf>
    <xf numFmtId="165" fontId="0" fillId="20" borderId="0" xfId="0" applyNumberFormat="1" applyFont="1" applyFill="1" applyBorder="1" applyAlignment="1" applyProtection="1">
      <alignment horizontal="right"/>
    </xf>
    <xf numFmtId="1" fontId="0" fillId="0" borderId="0" xfId="0" applyNumberFormat="1" applyFont="1" applyBorder="1" applyAlignment="1" applyProtection="1">
      <alignment horizontal="right"/>
    </xf>
    <xf numFmtId="43" fontId="0" fillId="18" borderId="0" xfId="3" applyFont="1" applyFill="1" applyBorder="1" applyAlignment="1" applyProtection="1">
      <alignment horizontal="right"/>
    </xf>
    <xf numFmtId="0" fontId="2" fillId="0" borderId="24" xfId="0" applyFont="1" applyBorder="1" applyAlignment="1" applyProtection="1">
      <alignment horizontal="right"/>
    </xf>
    <xf numFmtId="1" fontId="31" fillId="0" borderId="25" xfId="0" applyNumberFormat="1" applyFont="1" applyBorder="1" applyAlignment="1" applyProtection="1">
      <alignment horizontal="right"/>
    </xf>
    <xf numFmtId="9" fontId="2" fillId="0" borderId="25" xfId="0" applyNumberFormat="1" applyFont="1" applyBorder="1" applyAlignment="1" applyProtection="1">
      <alignment horizontal="right"/>
    </xf>
    <xf numFmtId="0" fontId="2" fillId="0" borderId="25" xfId="0" applyFont="1" applyBorder="1" applyAlignment="1" applyProtection="1">
      <alignment horizontal="right"/>
    </xf>
    <xf numFmtId="2" fontId="2" fillId="0" borderId="25" xfId="0" applyNumberFormat="1" applyFont="1" applyBorder="1" applyAlignment="1" applyProtection="1">
      <alignment horizontal="right"/>
    </xf>
    <xf numFmtId="165" fontId="2" fillId="5" borderId="25" xfId="0" applyNumberFormat="1" applyFont="1" applyFill="1" applyBorder="1" applyAlignment="1" applyProtection="1">
      <alignment horizontal="right"/>
    </xf>
    <xf numFmtId="168" fontId="2" fillId="0" borderId="25" xfId="0" applyNumberFormat="1" applyFont="1" applyBorder="1" applyAlignment="1" applyProtection="1">
      <alignment horizontal="right" vertical="center"/>
    </xf>
    <xf numFmtId="165" fontId="2" fillId="0" borderId="25" xfId="0" applyNumberFormat="1" applyFont="1" applyBorder="1" applyAlignment="1" applyProtection="1">
      <alignment horizontal="right"/>
    </xf>
    <xf numFmtId="164" fontId="2" fillId="9" borderId="25" xfId="0" applyNumberFormat="1" applyFont="1" applyFill="1" applyBorder="1" applyAlignment="1" applyProtection="1">
      <alignment horizontal="right"/>
    </xf>
    <xf numFmtId="43" fontId="2" fillId="5" borderId="25" xfId="3" applyFont="1" applyFill="1" applyBorder="1" applyAlignment="1" applyProtection="1">
      <alignment horizontal="right"/>
    </xf>
    <xf numFmtId="9" fontId="2" fillId="5" borderId="25" xfId="3" applyNumberFormat="1" applyFont="1" applyFill="1" applyBorder="1" applyAlignment="1" applyProtection="1">
      <alignment horizontal="right"/>
    </xf>
    <xf numFmtId="44" fontId="2" fillId="9" borderId="25" xfId="1" applyFont="1" applyFill="1" applyBorder="1" applyAlignment="1" applyProtection="1">
      <alignment horizontal="right"/>
    </xf>
    <xf numFmtId="0" fontId="2" fillId="0" borderId="18" xfId="0" applyFont="1" applyBorder="1" applyProtection="1"/>
    <xf numFmtId="0" fontId="2" fillId="0" borderId="19" xfId="0" applyFont="1" applyBorder="1" applyProtection="1"/>
    <xf numFmtId="165" fontId="2" fillId="0" borderId="19" xfId="0" applyNumberFormat="1" applyFont="1" applyBorder="1" applyProtection="1"/>
    <xf numFmtId="9" fontId="2" fillId="0" borderId="19" xfId="2" applyFont="1" applyBorder="1" applyProtection="1"/>
    <xf numFmtId="0" fontId="2" fillId="0" borderId="20" xfId="0" applyFont="1" applyBorder="1" applyProtection="1"/>
    <xf numFmtId="0" fontId="2" fillId="0" borderId="21" xfId="0" applyFont="1" applyBorder="1" applyProtection="1"/>
    <xf numFmtId="0" fontId="2" fillId="0" borderId="22" xfId="0" applyFont="1" applyBorder="1" applyProtection="1"/>
    <xf numFmtId="166" fontId="2" fillId="0" borderId="22" xfId="0" applyNumberFormat="1" applyFont="1" applyBorder="1" applyProtection="1"/>
    <xf numFmtId="44" fontId="2" fillId="0" borderId="22" xfId="0" applyNumberFormat="1" applyFont="1" applyBorder="1" applyProtection="1"/>
    <xf numFmtId="168" fontId="2" fillId="0" borderId="22" xfId="3" applyNumberFormat="1" applyFont="1" applyFill="1" applyBorder="1" applyAlignment="1" applyProtection="1">
      <alignment horizontal="right" vertical="center"/>
    </xf>
    <xf numFmtId="173" fontId="2" fillId="0" borderId="22" xfId="0" applyNumberFormat="1" applyFont="1" applyBorder="1" applyAlignment="1" applyProtection="1">
      <alignment horizontal="left" indent="1"/>
    </xf>
    <xf numFmtId="43" fontId="2" fillId="0" borderId="22" xfId="0" applyNumberFormat="1" applyFont="1" applyBorder="1" applyProtection="1"/>
    <xf numFmtId="165" fontId="2" fillId="0" borderId="22" xfId="0" applyNumberFormat="1" applyFont="1" applyBorder="1" applyProtection="1"/>
    <xf numFmtId="0" fontId="2" fillId="0" borderId="23" xfId="0" applyFont="1" applyBorder="1" applyProtection="1"/>
    <xf numFmtId="0" fontId="0" fillId="0" borderId="4" xfId="0" applyFont="1" applyBorder="1" applyAlignment="1" applyProtection="1">
      <alignment horizontal="right"/>
    </xf>
    <xf numFmtId="0" fontId="0" fillId="0" borderId="9" xfId="0" applyFont="1" applyBorder="1" applyAlignment="1" applyProtection="1">
      <alignment horizontal="right"/>
    </xf>
    <xf numFmtId="2" fontId="0" fillId="0" borderId="9" xfId="0" applyNumberFormat="1" applyFont="1" applyBorder="1" applyAlignment="1" applyProtection="1">
      <alignment horizontal="right"/>
    </xf>
    <xf numFmtId="9" fontId="0" fillId="0" borderId="9" xfId="2" applyFont="1" applyFill="1" applyBorder="1" applyAlignment="1" applyProtection="1">
      <alignment horizontal="right"/>
    </xf>
    <xf numFmtId="165" fontId="0" fillId="5" borderId="9" xfId="0" applyNumberFormat="1" applyFont="1" applyFill="1" applyBorder="1" applyAlignment="1" applyProtection="1">
      <alignment horizontal="right"/>
    </xf>
    <xf numFmtId="168" fontId="0" fillId="0" borderId="9" xfId="3" applyNumberFormat="1" applyFont="1" applyBorder="1" applyAlignment="1" applyProtection="1">
      <alignment horizontal="right" vertical="center"/>
    </xf>
    <xf numFmtId="165" fontId="0" fillId="0" borderId="9" xfId="0" applyNumberFormat="1" applyFont="1" applyBorder="1" applyAlignment="1" applyProtection="1">
      <alignment horizontal="right"/>
    </xf>
    <xf numFmtId="164" fontId="0" fillId="9" borderId="9" xfId="1" applyNumberFormat="1" applyFont="1" applyFill="1" applyBorder="1" applyAlignment="1" applyProtection="1">
      <alignment horizontal="right"/>
    </xf>
    <xf numFmtId="2" fontId="0" fillId="19" borderId="9" xfId="0" applyNumberFormat="1" applyFont="1" applyFill="1" applyBorder="1" applyAlignment="1" applyProtection="1">
      <alignment horizontal="right"/>
    </xf>
    <xf numFmtId="43" fontId="0" fillId="5" borderId="9" xfId="3" applyFont="1" applyFill="1" applyBorder="1" applyAlignment="1" applyProtection="1">
      <alignment horizontal="right"/>
    </xf>
    <xf numFmtId="9" fontId="0" fillId="5" borderId="9" xfId="2" applyFont="1" applyFill="1" applyBorder="1" applyAlignment="1" applyProtection="1">
      <alignment horizontal="right"/>
    </xf>
    <xf numFmtId="164" fontId="0" fillId="9" borderId="9" xfId="0" applyNumberFormat="1" applyFont="1" applyFill="1" applyBorder="1" applyAlignment="1" applyProtection="1">
      <alignment horizontal="right"/>
    </xf>
    <xf numFmtId="44" fontId="0" fillId="9" borderId="9" xfId="1" applyFont="1" applyFill="1" applyBorder="1" applyAlignment="1" applyProtection="1">
      <alignment horizontal="right"/>
    </xf>
    <xf numFmtId="44" fontId="0" fillId="0" borderId="9" xfId="0" applyNumberFormat="1" applyFont="1" applyBorder="1" applyAlignment="1" applyProtection="1">
      <alignment horizontal="right"/>
    </xf>
    <xf numFmtId="2" fontId="0" fillId="0" borderId="3" xfId="0" applyNumberFormat="1" applyFont="1" applyBorder="1" applyAlignment="1" applyProtection="1">
      <alignment horizontal="right"/>
    </xf>
    <xf numFmtId="2" fontId="0" fillId="0" borderId="2" xfId="0" applyNumberFormat="1" applyFont="1" applyBorder="1" applyAlignment="1" applyProtection="1">
      <alignment horizontal="right"/>
    </xf>
    <xf numFmtId="0" fontId="0" fillId="0" borderId="6" xfId="0" applyFont="1" applyBorder="1" applyAlignment="1" applyProtection="1">
      <alignment horizontal="right"/>
    </xf>
    <xf numFmtId="0" fontId="0" fillId="0" borderId="8" xfId="0" applyFont="1" applyBorder="1" applyAlignment="1" applyProtection="1">
      <alignment horizontal="right"/>
    </xf>
    <xf numFmtId="2" fontId="0" fillId="0" borderId="8" xfId="0" applyNumberFormat="1" applyFont="1" applyBorder="1" applyAlignment="1" applyProtection="1">
      <alignment horizontal="right"/>
    </xf>
    <xf numFmtId="9" fontId="0" fillId="0" borderId="8" xfId="2" applyFont="1" applyFill="1" applyBorder="1" applyAlignment="1" applyProtection="1">
      <alignment horizontal="right"/>
    </xf>
    <xf numFmtId="168" fontId="0" fillId="0" borderId="8" xfId="3" applyNumberFormat="1" applyFont="1" applyBorder="1" applyAlignment="1" applyProtection="1">
      <alignment horizontal="right" vertical="center"/>
    </xf>
    <xf numFmtId="165" fontId="0" fillId="0" borderId="8" xfId="0" applyNumberFormat="1" applyFont="1" applyBorder="1" applyAlignment="1" applyProtection="1">
      <alignment horizontal="right"/>
    </xf>
    <xf numFmtId="164" fontId="0" fillId="9" borderId="8" xfId="1" applyNumberFormat="1" applyFont="1" applyFill="1" applyBorder="1" applyAlignment="1" applyProtection="1">
      <alignment horizontal="right"/>
    </xf>
    <xf numFmtId="9" fontId="0" fillId="5" borderId="8" xfId="2" applyFont="1" applyFill="1" applyBorder="1" applyAlignment="1" applyProtection="1">
      <alignment horizontal="right"/>
    </xf>
    <xf numFmtId="164" fontId="0" fillId="9" borderId="8" xfId="0" applyNumberFormat="1" applyFont="1" applyFill="1" applyBorder="1" applyAlignment="1" applyProtection="1">
      <alignment horizontal="right"/>
    </xf>
    <xf numFmtId="44" fontId="0" fillId="0" borderId="8" xfId="0" applyNumberFormat="1" applyFont="1" applyBorder="1" applyAlignment="1" applyProtection="1">
      <alignment horizontal="right"/>
    </xf>
    <xf numFmtId="2" fontId="0" fillId="0" borderId="7" xfId="0" applyNumberFormat="1" applyFont="1" applyBorder="1" applyAlignment="1" applyProtection="1">
      <alignment horizontal="right"/>
    </xf>
    <xf numFmtId="43" fontId="0" fillId="17" borderId="9" xfId="3" applyFont="1" applyFill="1" applyBorder="1" applyAlignment="1" applyProtection="1">
      <alignment horizontal="right"/>
    </xf>
    <xf numFmtId="0" fontId="19" fillId="0" borderId="5" xfId="0" applyFont="1" applyBorder="1" applyAlignment="1" applyProtection="1">
      <alignment horizontal="right"/>
    </xf>
    <xf numFmtId="2" fontId="0" fillId="5" borderId="8" xfId="0" applyNumberFormat="1" applyFont="1" applyFill="1" applyBorder="1" applyAlignment="1" applyProtection="1">
      <alignment horizontal="right"/>
    </xf>
    <xf numFmtId="43" fontId="0" fillId="17" borderId="8" xfId="3" applyFont="1" applyFill="1" applyBorder="1" applyAlignment="1" applyProtection="1">
      <alignment horizontal="right"/>
    </xf>
    <xf numFmtId="0" fontId="2" fillId="0" borderId="11" xfId="0" applyFont="1" applyBorder="1" applyAlignment="1" applyProtection="1">
      <alignment horizontal="right" vertical="center"/>
    </xf>
    <xf numFmtId="165" fontId="0" fillId="0" borderId="12" xfId="0" applyNumberFormat="1" applyFont="1" applyBorder="1" applyAlignment="1" applyProtection="1">
      <alignment horizontal="right" vertical="top"/>
    </xf>
    <xf numFmtId="0" fontId="0" fillId="0" borderId="12" xfId="0" applyFont="1" applyBorder="1" applyAlignment="1" applyProtection="1">
      <alignment horizontal="right" vertical="top"/>
    </xf>
    <xf numFmtId="0" fontId="0" fillId="0" borderId="11" xfId="0" applyFont="1" applyBorder="1" applyAlignment="1" applyProtection="1">
      <alignment horizontal="right" vertical="top"/>
    </xf>
    <xf numFmtId="169" fontId="16" fillId="2" borderId="0" xfId="2" applyNumberFormat="1" applyFont="1" applyFill="1" applyBorder="1" applyAlignment="1" applyProtection="1"/>
    <xf numFmtId="0" fontId="0" fillId="7" borderId="9" xfId="0" applyFont="1" applyFill="1" applyBorder="1" applyAlignment="1" applyProtection="1"/>
    <xf numFmtId="166" fontId="0" fillId="0" borderId="0" xfId="0" applyNumberFormat="1"/>
    <xf numFmtId="44" fontId="0" fillId="17" borderId="8" xfId="1" applyFont="1" applyFill="1" applyBorder="1" applyAlignment="1" applyProtection="1">
      <alignment horizontal="right"/>
    </xf>
    <xf numFmtId="167" fontId="16" fillId="7" borderId="2" xfId="2" applyNumberFormat="1" applyFont="1" applyFill="1" applyBorder="1" applyAlignment="1" applyProtection="1"/>
    <xf numFmtId="1" fontId="16" fillId="2" borderId="0" xfId="0" applyNumberFormat="1" applyFont="1" applyFill="1" applyBorder="1" applyAlignment="1" applyProtection="1">
      <alignment horizontal="right"/>
    </xf>
    <xf numFmtId="0" fontId="35" fillId="0" borderId="0" xfId="0" applyFont="1"/>
    <xf numFmtId="0" fontId="35" fillId="21" borderId="0" xfId="0" applyFont="1" applyFill="1" applyAlignment="1">
      <alignment horizontal="center"/>
    </xf>
    <xf numFmtId="0" fontId="36" fillId="21" borderId="0" xfId="0" applyFont="1" applyFill="1" applyAlignment="1">
      <alignment horizontal="right" vertical="top" wrapText="1"/>
    </xf>
    <xf numFmtId="43" fontId="23" fillId="21" borderId="0" xfId="3" applyFont="1" applyFill="1" applyBorder="1" applyAlignment="1" applyProtection="1">
      <alignment horizontal="right"/>
    </xf>
    <xf numFmtId="0" fontId="0" fillId="21" borderId="0" xfId="0" applyFill="1"/>
    <xf numFmtId="0" fontId="0" fillId="0" borderId="3" xfId="0" applyFont="1" applyBorder="1" applyAlignment="1" applyProtection="1">
      <alignment horizontal="right" vertical="top"/>
    </xf>
    <xf numFmtId="44" fontId="2" fillId="0" borderId="25" xfId="1" applyFont="1" applyFill="1" applyBorder="1" applyAlignment="1" applyProtection="1">
      <alignment horizontal="right"/>
    </xf>
    <xf numFmtId="165" fontId="0" fillId="0" borderId="4" xfId="0" applyNumberFormat="1" applyFont="1" applyBorder="1" applyAlignment="1" applyProtection="1">
      <alignment horizontal="right"/>
    </xf>
    <xf numFmtId="165" fontId="0" fillId="0" borderId="5" xfId="0" applyNumberFormat="1" applyFont="1" applyBorder="1" applyAlignment="1" applyProtection="1">
      <alignment horizontal="right"/>
    </xf>
    <xf numFmtId="165" fontId="0" fillId="17" borderId="6" xfId="0" applyNumberFormat="1" applyFont="1" applyFill="1" applyBorder="1" applyAlignment="1" applyProtection="1">
      <alignment horizontal="right"/>
    </xf>
    <xf numFmtId="2" fontId="0" fillId="0" borderId="5" xfId="0" applyNumberFormat="1" applyFont="1" applyBorder="1" applyAlignment="1" applyProtection="1">
      <alignment horizontal="right"/>
    </xf>
    <xf numFmtId="2" fontId="2" fillId="0" borderId="27" xfId="0" applyNumberFormat="1" applyFont="1" applyBorder="1" applyAlignment="1" applyProtection="1">
      <alignment horizontal="right"/>
    </xf>
    <xf numFmtId="0" fontId="2" fillId="0" borderId="28" xfId="0" applyFont="1" applyBorder="1" applyProtection="1"/>
    <xf numFmtId="44" fontId="2" fillId="0" borderId="29" xfId="0" applyNumberFormat="1" applyFont="1" applyBorder="1" applyProtection="1"/>
    <xf numFmtId="2" fontId="2" fillId="0" borderId="26" xfId="1" applyNumberFormat="1" applyFont="1" applyFill="1" applyBorder="1" applyAlignment="1" applyProtection="1">
      <alignment horizontal="right"/>
    </xf>
    <xf numFmtId="0" fontId="37" fillId="0" borderId="0" xfId="9" applyProtection="1"/>
    <xf numFmtId="0" fontId="38" fillId="0" borderId="0" xfId="0" applyFont="1"/>
    <xf numFmtId="0" fontId="2" fillId="7" borderId="0" xfId="0" applyFont="1" applyFill="1" applyAlignment="1">
      <alignment horizontal="right" indent="1"/>
    </xf>
    <xf numFmtId="0" fontId="0" fillId="3" borderId="0" xfId="0" applyFill="1" applyAlignment="1" applyProtection="1">
      <alignment horizontal="center"/>
      <protection locked="0"/>
    </xf>
    <xf numFmtId="0" fontId="0" fillId="0" borderId="0" xfId="0" applyAlignment="1">
      <alignment horizontal="center"/>
    </xf>
    <xf numFmtId="0" fontId="31" fillId="7" borderId="0" xfId="0" applyFont="1" applyFill="1" applyAlignment="1">
      <alignment horizontal="center" wrapText="1"/>
    </xf>
    <xf numFmtId="0" fontId="0" fillId="16" borderId="0" xfId="0" applyFill="1" applyAlignment="1" applyProtection="1">
      <alignment horizontal="center" vertical="center"/>
      <protection locked="0"/>
    </xf>
    <xf numFmtId="0" fontId="5" fillId="15" borderId="0" xfId="0" applyFont="1" applyFill="1" applyAlignment="1">
      <alignment horizontal="center" vertical="center"/>
    </xf>
    <xf numFmtId="0" fontId="31" fillId="7" borderId="0" xfId="0" applyFont="1" applyFill="1" applyAlignment="1">
      <alignment horizontal="center" vertical="center" wrapText="1"/>
    </xf>
    <xf numFmtId="0" fontId="3" fillId="0" borderId="0" xfId="0" applyFont="1" applyFill="1" applyAlignment="1" applyProtection="1">
      <alignment horizontal="left" vertical="top"/>
    </xf>
    <xf numFmtId="0" fontId="4" fillId="11" borderId="9" xfId="0" applyFont="1" applyFill="1" applyBorder="1" applyAlignment="1" applyProtection="1">
      <alignment horizontal="center" vertical="center"/>
    </xf>
    <xf numFmtId="0" fontId="4" fillId="11" borderId="3" xfId="0" applyFont="1" applyFill="1" applyBorder="1" applyAlignment="1" applyProtection="1">
      <alignment horizontal="center" vertical="center"/>
    </xf>
    <xf numFmtId="0" fontId="4" fillId="11" borderId="0" xfId="0" applyFont="1" applyFill="1" applyBorder="1" applyAlignment="1" applyProtection="1">
      <alignment horizontal="center" vertical="center"/>
    </xf>
    <xf numFmtId="0" fontId="4" fillId="11" borderId="2" xfId="0" applyFont="1" applyFill="1" applyBorder="1" applyAlignment="1" applyProtection="1">
      <alignment horizontal="center" vertical="center"/>
    </xf>
    <xf numFmtId="0" fontId="4" fillId="11" borderId="8" xfId="0" applyFont="1" applyFill="1" applyBorder="1" applyAlignment="1" applyProtection="1">
      <alignment horizontal="center" vertical="center"/>
    </xf>
    <xf numFmtId="0" fontId="4" fillId="11" borderId="7" xfId="0" applyFont="1" applyFill="1" applyBorder="1" applyAlignment="1" applyProtection="1">
      <alignment horizontal="center" vertical="center"/>
    </xf>
    <xf numFmtId="0" fontId="0" fillId="14" borderId="4" xfId="0" applyFill="1" applyBorder="1" applyAlignment="1" applyProtection="1">
      <alignment horizontal="center" vertical="center"/>
    </xf>
    <xf numFmtId="0" fontId="0" fillId="14" borderId="9" xfId="0" applyFill="1" applyBorder="1" applyAlignment="1" applyProtection="1">
      <alignment horizontal="center" vertical="center"/>
    </xf>
    <xf numFmtId="0" fontId="0" fillId="14" borderId="6" xfId="0" applyFill="1" applyBorder="1" applyAlignment="1" applyProtection="1">
      <alignment horizontal="center" vertical="center"/>
    </xf>
    <xf numFmtId="0" fontId="0" fillId="14" borderId="8" xfId="0" applyFill="1" applyBorder="1" applyAlignment="1" applyProtection="1">
      <alignment horizontal="center" vertical="center"/>
    </xf>
    <xf numFmtId="0" fontId="0" fillId="6" borderId="9" xfId="0" applyFont="1" applyFill="1" applyBorder="1" applyAlignment="1" applyProtection="1">
      <protection locked="0"/>
    </xf>
    <xf numFmtId="0" fontId="0" fillId="6" borderId="3" xfId="0" applyFont="1" applyFill="1" applyBorder="1" applyAlignment="1" applyProtection="1">
      <protection locked="0"/>
    </xf>
    <xf numFmtId="0" fontId="27" fillId="13" borderId="0" xfId="8" applyFont="1" applyAlignment="1" applyProtection="1">
      <alignment vertical="center" wrapText="1"/>
    </xf>
    <xf numFmtId="0" fontId="27" fillId="13" borderId="0" xfId="8" applyFont="1" applyAlignment="1" applyProtection="1">
      <alignment wrapText="1"/>
    </xf>
    <xf numFmtId="0" fontId="0" fillId="2" borderId="0" xfId="0" applyFont="1" applyFill="1" applyAlignment="1" applyProtection="1">
      <alignment horizontal="center"/>
    </xf>
    <xf numFmtId="0" fontId="18" fillId="0" borderId="0" xfId="0" applyFont="1" applyAlignment="1" applyProtection="1">
      <alignment vertical="center"/>
    </xf>
    <xf numFmtId="164" fontId="24" fillId="2" borderId="12" xfId="0" applyNumberFormat="1" applyFont="1" applyFill="1" applyBorder="1" applyAlignment="1" applyProtection="1"/>
    <xf numFmtId="0" fontId="28" fillId="12" borderId="0" xfId="7" applyFont="1" applyBorder="1" applyAlignment="1" applyProtection="1">
      <alignment wrapText="1"/>
    </xf>
    <xf numFmtId="0" fontId="28" fillId="12" borderId="0" xfId="7" applyFont="1" applyAlignment="1" applyProtection="1">
      <alignment vertical="top" wrapText="1"/>
    </xf>
    <xf numFmtId="0" fontId="27" fillId="13" borderId="0" xfId="8" applyFont="1" applyAlignment="1" applyProtection="1">
      <alignment horizontal="left" wrapText="1"/>
    </xf>
    <xf numFmtId="0" fontId="16" fillId="2" borderId="9" xfId="0" applyFont="1" applyFill="1" applyBorder="1" applyAlignment="1" applyProtection="1"/>
    <xf numFmtId="0" fontId="16" fillId="2" borderId="3" xfId="0" applyFont="1" applyFill="1" applyBorder="1" applyAlignment="1" applyProtection="1"/>
    <xf numFmtId="0" fontId="0" fillId="14" borderId="11" xfId="0" applyFill="1" applyBorder="1" applyAlignment="1" applyProtection="1">
      <alignment horizontal="center" vertical="center"/>
    </xf>
    <xf numFmtId="0" fontId="0" fillId="14" borderId="12" xfId="0" applyFill="1" applyBorder="1" applyAlignment="1" applyProtection="1">
      <alignment horizontal="center" vertical="center"/>
    </xf>
    <xf numFmtId="0" fontId="4" fillId="11" borderId="11" xfId="0" applyFont="1" applyFill="1" applyBorder="1" applyAlignment="1" applyProtection="1">
      <alignment horizontal="center" vertical="center"/>
    </xf>
    <xf numFmtId="0" fontId="4" fillId="11" borderId="12" xfId="0" applyFont="1" applyFill="1" applyBorder="1" applyAlignment="1" applyProtection="1">
      <alignment horizontal="center" vertical="center"/>
    </xf>
    <xf numFmtId="0" fontId="4" fillId="11" borderId="10" xfId="0" applyFont="1" applyFill="1" applyBorder="1" applyAlignment="1" applyProtection="1">
      <alignment horizontal="center" vertical="center"/>
    </xf>
    <xf numFmtId="0" fontId="16" fillId="2" borderId="6" xfId="0" applyNumberFormat="1" applyFont="1" applyFill="1" applyBorder="1" applyAlignment="1" applyProtection="1"/>
    <xf numFmtId="0" fontId="16" fillId="2" borderId="8" xfId="0" applyNumberFormat="1" applyFont="1" applyFill="1" applyBorder="1" applyAlignment="1" applyProtection="1"/>
    <xf numFmtId="44" fontId="24" fillId="2" borderId="12" xfId="1" applyNumberFormat="1" applyFont="1" applyFill="1" applyBorder="1" applyAlignment="1" applyProtection="1"/>
    <xf numFmtId="0" fontId="27" fillId="13" borderId="9" xfId="8" applyFont="1" applyBorder="1" applyAlignment="1" applyProtection="1">
      <alignment wrapText="1"/>
    </xf>
    <xf numFmtId="0" fontId="27" fillId="13" borderId="0" xfId="8" applyFont="1" applyBorder="1" applyAlignment="1" applyProtection="1">
      <alignment wrapText="1"/>
    </xf>
    <xf numFmtId="0" fontId="27" fillId="13" borderId="8" xfId="8" applyFont="1" applyBorder="1" applyAlignment="1" applyProtection="1">
      <alignment wrapText="1"/>
    </xf>
    <xf numFmtId="0" fontId="28" fillId="12" borderId="0" xfId="7" applyFont="1" applyAlignment="1" applyProtection="1">
      <alignment wrapText="1"/>
    </xf>
    <xf numFmtId="0" fontId="0" fillId="7" borderId="9" xfId="0" applyFont="1" applyFill="1" applyBorder="1" applyAlignment="1" applyProtection="1"/>
    <xf numFmtId="9" fontId="16" fillId="2" borderId="0" xfId="2" applyFont="1" applyFill="1" applyBorder="1" applyAlignment="1" applyProtection="1"/>
    <xf numFmtId="9" fontId="16" fillId="2" borderId="8" xfId="2" applyFont="1" applyFill="1" applyBorder="1" applyAlignment="1" applyProtection="1"/>
    <xf numFmtId="0" fontId="0" fillId="7" borderId="3" xfId="0" applyFont="1" applyFill="1" applyBorder="1" applyAlignment="1" applyProtection="1"/>
    <xf numFmtId="0" fontId="6" fillId="11" borderId="12" xfId="0" applyFont="1" applyFill="1" applyBorder="1" applyAlignment="1" applyProtection="1">
      <alignment horizontal="center"/>
    </xf>
    <xf numFmtId="0" fontId="6" fillId="11" borderId="10" xfId="0" applyFont="1" applyFill="1" applyBorder="1" applyAlignment="1" applyProtection="1">
      <alignment horizontal="center"/>
    </xf>
    <xf numFmtId="0" fontId="0" fillId="7" borderId="2" xfId="0" applyFont="1" applyFill="1" applyBorder="1" applyAlignment="1" applyProtection="1"/>
    <xf numFmtId="0" fontId="0" fillId="7" borderId="8" xfId="0" applyFont="1" applyFill="1" applyBorder="1" applyAlignment="1" applyProtection="1"/>
    <xf numFmtId="0" fontId="0" fillId="7" borderId="7" xfId="0" applyFont="1" applyFill="1" applyBorder="1" applyAlignment="1" applyProtection="1"/>
    <xf numFmtId="0" fontId="19" fillId="0" borderId="0" xfId="0" applyFont="1" applyAlignment="1">
      <alignment horizontal="center"/>
    </xf>
    <xf numFmtId="0" fontId="0" fillId="0" borderId="0" xfId="0" applyAlignment="1">
      <alignment horizontal="center" wrapText="1"/>
    </xf>
    <xf numFmtId="0" fontId="12" fillId="0" borderId="0" xfId="0" applyFont="1" applyAlignment="1">
      <alignment vertical="center"/>
    </xf>
  </cellXfs>
  <cellStyles count="10">
    <cellStyle name="Bad" xfId="8" builtinId="27"/>
    <cellStyle name="Comma" xfId="3" builtinId="3"/>
    <cellStyle name="Currency" xfId="1" builtinId="4"/>
    <cellStyle name="Good" xfId="5" builtinId="26"/>
    <cellStyle name="Hyperlink" xfId="9" builtinId="8"/>
    <cellStyle name="Neutral" xfId="7" builtinId="28"/>
    <cellStyle name="Normal" xfId="0" builtinId="0"/>
    <cellStyle name="Normal 2" xfId="4" xr:uid="{5E1526AF-2548-421D-93D6-7F574C938C5C}"/>
    <cellStyle name="Normal 4" xfId="6" xr:uid="{2C972486-142E-4072-A3A7-9BAEE08B7345}"/>
    <cellStyle name="Percent" xfId="2" builtinId="5"/>
  </cellStyles>
  <dxfs count="112">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numFmt numFmtId="2" formatCode="0.00"/>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numFmt numFmtId="2" formatCode="0.00"/>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alignment horizontal="left" vertical="bottom" textRotation="0" wrapText="0" indent="1" justifyLastLine="0" shrinkToFit="0" readingOrder="0"/>
    </dxf>
    <dxf>
      <alignment horizontal="left" vertical="bottom" textRotation="0" wrapText="0" indent="1" justifyLastLine="0" shrinkToFit="0" readingOrder="0"/>
    </dxf>
    <dxf>
      <font>
        <b val="0"/>
        <i val="0"/>
        <strike val="0"/>
        <condense val="0"/>
        <extend val="0"/>
        <outline val="0"/>
        <shadow val="0"/>
        <u val="none"/>
        <vertAlign val="baseline"/>
        <sz val="10"/>
        <color auto="1"/>
        <name val="Arial"/>
        <family val="2"/>
        <scheme val="none"/>
      </font>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dxf>
    <dxf>
      <font>
        <b val="0"/>
        <i val="0"/>
        <strike val="0"/>
        <condense val="0"/>
        <extend val="0"/>
        <outline val="0"/>
        <shadow val="0"/>
        <u val="none"/>
        <vertAlign val="baseline"/>
        <sz val="9"/>
        <color theme="1"/>
        <name val="Calibri"/>
        <family val="2"/>
        <scheme val="minor"/>
      </font>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color theme="0"/>
      </font>
      <fill>
        <patternFill>
          <bgColor theme="0"/>
        </patternFill>
      </fill>
    </dxf>
    <dxf>
      <font>
        <color theme="0"/>
      </font>
      <fill>
        <patternFill patternType="solid">
          <bgColor theme="0"/>
        </patternFill>
      </fill>
      <border>
        <left/>
        <right/>
        <top style="thin">
          <color auto="1"/>
        </top>
        <bottom/>
        <vertical/>
        <horizontal/>
      </border>
    </dxf>
    <dxf>
      <font>
        <color rgb="FF006100"/>
      </font>
      <fill>
        <patternFill>
          <bgColor rgb="FFC6EFCE"/>
        </patternFill>
      </fill>
    </dxf>
    <dxf>
      <font>
        <color theme="0" tint="-0.14996795556505021"/>
      </font>
      <fill>
        <patternFill>
          <bgColor theme="0" tint="-0.14996795556505021"/>
        </patternFill>
      </fill>
    </dxf>
    <dxf>
      <border>
        <bottom style="thin">
          <color auto="1"/>
        </bottom>
        <vertical/>
        <horizontal/>
      </border>
    </dxf>
    <dxf>
      <font>
        <color theme="0" tint="-0.14996795556505021"/>
      </font>
      <fill>
        <patternFill>
          <bgColor theme="0" tint="-0.14996795556505021"/>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border outline="0">
        <bottom style="thin">
          <color theme="4" tint="0.39997558519241921"/>
        </bottom>
      </border>
    </dxf>
    <dxf>
      <font>
        <b val="0"/>
        <i val="0"/>
        <strike val="0"/>
        <condense val="0"/>
        <extend val="0"/>
        <outline val="0"/>
        <shadow val="0"/>
        <u val="none"/>
        <vertAlign val="baseline"/>
        <sz val="11"/>
        <color theme="1"/>
        <name val="Arial"/>
        <family val="2"/>
        <scheme val="none"/>
      </font>
      <protection locked="1" hidden="0"/>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font>
      <fill>
        <patternFill>
          <bgColor theme="0"/>
        </patternFill>
      </fill>
    </dxf>
    <dxf>
      <font>
        <color theme="0"/>
      </font>
      <fill>
        <patternFill patternType="solid">
          <bgColor theme="0"/>
        </patternFill>
      </fill>
      <border>
        <left/>
        <right/>
        <top style="thin">
          <color auto="1"/>
        </top>
        <bottom/>
        <vertical/>
        <horizontal/>
      </border>
    </dxf>
    <dxf>
      <font>
        <color theme="0"/>
      </font>
      <fill>
        <patternFill>
          <bgColor theme="0"/>
        </patternFill>
      </fill>
      <border>
        <left/>
        <right/>
        <top/>
        <bottom/>
        <vertical/>
        <horizontal/>
      </border>
    </dxf>
    <dxf>
      <font>
        <strike/>
      </font>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protection locked="1" hidden="0"/>
    </dxf>
    <dxf>
      <protection locked="1" hidden="0"/>
    </dxf>
    <dxf>
      <protection locked="1" hidden="0"/>
    </dxf>
    <dxf>
      <protection locked="1" hidden="0"/>
    </dxf>
    <dxf>
      <protection locked="1" hidden="0"/>
    </dxf>
    <dxf>
      <protection locked="1" hidden="0"/>
    </dxf>
    <dxf>
      <font>
        <color theme="0"/>
      </font>
      <fill>
        <patternFill>
          <bgColor theme="0"/>
        </patternFill>
      </fill>
    </dxf>
    <dxf>
      <font>
        <color theme="0"/>
      </font>
      <fill>
        <patternFill patternType="none">
          <bgColor auto="1"/>
        </patternFill>
      </fill>
    </dxf>
    <dxf>
      <font>
        <color theme="0"/>
      </font>
      <fill>
        <patternFill patternType="none">
          <bgColor auto="1"/>
        </patternFill>
      </fill>
    </dxf>
    <dxf>
      <font>
        <color theme="0"/>
      </font>
      <fill>
        <patternFill>
          <bgColor theme="0"/>
        </patternFill>
      </fill>
    </dxf>
  </dxfs>
  <tableStyles count="0" defaultTableStyle="TableStyleMedium2" defaultPivotStyle="PivotStyleLight16"/>
  <colors>
    <mruColors>
      <color rgb="FF9C0006"/>
      <color rgb="FFFFC7CE"/>
      <color rgb="FFC6EFCE"/>
      <color rgb="FF006100"/>
      <color rgb="FF9C5700"/>
      <color rgb="FFFFEB96"/>
      <color rgb="FFD8BEEC"/>
      <color rgb="FF965626"/>
      <color rgb="FFFFFFFF"/>
      <color rgb="FFFF61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AU"/>
              <a:t>Benchmark pumping costs</a:t>
            </a:r>
          </a:p>
        </c:rich>
      </c:tx>
      <c:layout>
        <c:manualLayout>
          <c:xMode val="edge"/>
          <c:yMode val="edge"/>
          <c:x val="0.29243480615051687"/>
          <c:y val="6.3195052275245803E-3"/>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665214087506489"/>
          <c:y val="0.13075857332747878"/>
          <c:w val="0.79677919734264935"/>
          <c:h val="0.76597123411772816"/>
        </c:manualLayout>
      </c:layout>
      <c:barChart>
        <c:barDir val="col"/>
        <c:grouping val="clustered"/>
        <c:varyColors val="0"/>
        <c:ser>
          <c:idx val="1"/>
          <c:order val="0"/>
          <c:spPr>
            <a:solidFill>
              <a:schemeClr val="accent2"/>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1-3A0C-4C2B-A864-83B69BE69CFA}"/>
              </c:ext>
            </c:extLst>
          </c:dPt>
          <c:dLbls>
            <c:dLbl>
              <c:idx val="0"/>
              <c:layout>
                <c:manualLayout>
                  <c:x val="0.14154916648682234"/>
                  <c:y val="8.9020929504675078E-2"/>
                </c:manualLayout>
              </c:layout>
              <c:tx>
                <c:strRef>
                  <c:f>'data for graph'!$J$5</c:f>
                  <c:strCache>
                    <c:ptCount val="1"/>
                    <c:pt idx="0">
                      <c:v>Your system</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{1CE0DBB4-6DA5-40D5-920D-54F4969D10B7}</c15:txfldGUID>
                      <c15:f>'data for graph'!$J$5</c15:f>
                      <c15:dlblFieldTableCache>
                        <c:ptCount val="1"/>
                        <c:pt idx="0">
                          <c:v>Your system</c:v>
                        </c:pt>
                      </c15:dlblFieldTableCache>
                    </c15:dlblFTEntry>
                  </c15:dlblFieldTable>
                  <c15:showDataLabelsRange val="0"/>
                </c:ext>
                <c:ext xmlns:c16="http://schemas.microsoft.com/office/drawing/2014/chart" uri="{C3380CC4-5D6E-409C-BE32-E72D297353CC}">
                  <c16:uniqueId val="{00000001-3A0C-4C2B-A864-83B69BE69CF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for graph'!$J$5:$J$73</c:f>
              <c:strCache>
                <c:ptCount val="69"/>
                <c:pt idx="0">
                  <c:v>Your system</c:v>
                </c:pt>
                <c:pt idx="1">
                  <c:v>Pivot</c:v>
                </c:pt>
                <c:pt idx="2">
                  <c:v>Pivot</c:v>
                </c:pt>
                <c:pt idx="3">
                  <c:v>Pivot</c:v>
                </c:pt>
                <c:pt idx="4">
                  <c:v>Bike Shift</c:v>
                </c:pt>
                <c:pt idx="5">
                  <c:v>Pivot</c:v>
                </c:pt>
                <c:pt idx="6">
                  <c:v>Pivot</c:v>
                </c:pt>
                <c:pt idx="7">
                  <c:v>Pivot</c:v>
                </c:pt>
                <c:pt idx="8">
                  <c:v>Bike Shift</c:v>
                </c:pt>
                <c:pt idx="9">
                  <c:v>Pivot</c:v>
                </c:pt>
                <c:pt idx="10">
                  <c:v>Pivot</c:v>
                </c:pt>
                <c:pt idx="11">
                  <c:v>Pivot</c:v>
                </c:pt>
                <c:pt idx="12">
                  <c:v>Side roll</c:v>
                </c:pt>
                <c:pt idx="13">
                  <c:v>Micrspray</c:v>
                </c:pt>
                <c:pt idx="14">
                  <c:v>Pivot</c:v>
                </c:pt>
                <c:pt idx="15">
                  <c:v>Pivot</c:v>
                </c:pt>
                <c:pt idx="16">
                  <c:v>Solid set</c:v>
                </c:pt>
                <c:pt idx="17">
                  <c:v>Pivot</c:v>
                </c:pt>
                <c:pt idx="18">
                  <c:v>Bike shift</c:v>
                </c:pt>
                <c:pt idx="19">
                  <c:v>K-line</c:v>
                </c:pt>
                <c:pt idx="20">
                  <c:v>Pivot</c:v>
                </c:pt>
                <c:pt idx="21">
                  <c:v>Pivot</c:v>
                </c:pt>
                <c:pt idx="22">
                  <c:v>Pivot</c:v>
                </c:pt>
                <c:pt idx="23">
                  <c:v>Pivot</c:v>
                </c:pt>
                <c:pt idx="24">
                  <c:v>Pivot</c:v>
                </c:pt>
                <c:pt idx="25">
                  <c:v>Solid set</c:v>
                </c:pt>
                <c:pt idx="26">
                  <c:v>K-line</c:v>
                </c:pt>
                <c:pt idx="27">
                  <c:v>Hard hose</c:v>
                </c:pt>
                <c:pt idx="28">
                  <c:v>Bike Shift</c:v>
                </c:pt>
                <c:pt idx="29">
                  <c:v>Pivot</c:v>
                </c:pt>
                <c:pt idx="30">
                  <c:v>Lateral move</c:v>
                </c:pt>
                <c:pt idx="31">
                  <c:v>Bike shift</c:v>
                </c:pt>
                <c:pt idx="32">
                  <c:v>Solid Set</c:v>
                </c:pt>
                <c:pt idx="33">
                  <c:v>Bike Shift</c:v>
                </c:pt>
                <c:pt idx="34">
                  <c:v>Pivot</c:v>
                </c:pt>
                <c:pt idx="35">
                  <c:v>Solid Set</c:v>
                </c:pt>
                <c:pt idx="36">
                  <c:v>Traveller</c:v>
                </c:pt>
                <c:pt idx="37">
                  <c:v>Drip</c:v>
                </c:pt>
                <c:pt idx="38">
                  <c:v>Hard hose</c:v>
                </c:pt>
                <c:pt idx="39">
                  <c:v>Solid set</c:v>
                </c:pt>
                <c:pt idx="40">
                  <c:v>Bike Shift</c:v>
                </c:pt>
                <c:pt idx="41">
                  <c:v>Drip</c:v>
                </c:pt>
                <c:pt idx="42">
                  <c:v>Solid set</c:v>
                </c:pt>
                <c:pt idx="43">
                  <c:v>Hard Hose</c:v>
                </c:pt>
                <c:pt idx="44">
                  <c:v>Traveller</c:v>
                </c:pt>
                <c:pt idx="45">
                  <c:v>Traveller</c:v>
                </c:pt>
                <c:pt idx="46">
                  <c:v>Pivot</c:v>
                </c:pt>
                <c:pt idx="47">
                  <c:v>Traveller</c:v>
                </c:pt>
                <c:pt idx="48">
                  <c:v>Lateral move</c:v>
                </c:pt>
                <c:pt idx="49">
                  <c:v>Pivot</c:v>
                </c:pt>
                <c:pt idx="50">
                  <c:v>Drip</c:v>
                </c:pt>
                <c:pt idx="51">
                  <c:v>Solid set</c:v>
                </c:pt>
                <c:pt idx="52">
                  <c:v>Traveller</c:v>
                </c:pt>
                <c:pt idx="53">
                  <c:v>Traveller</c:v>
                </c:pt>
                <c:pt idx="54">
                  <c:v>Traveller</c:v>
                </c:pt>
                <c:pt idx="55">
                  <c:v>Traveller</c:v>
                </c:pt>
                <c:pt idx="56">
                  <c:v>Traveller</c:v>
                </c:pt>
                <c:pt idx="57">
                  <c:v>Traveller</c:v>
                </c:pt>
                <c:pt idx="58">
                  <c:v>Hard Hose</c:v>
                </c:pt>
                <c:pt idx="59">
                  <c:v>Traveller</c:v>
                </c:pt>
                <c:pt idx="60">
                  <c:v>Traveller</c:v>
                </c:pt>
                <c:pt idx="61">
                  <c:v>Hardhose</c:v>
                </c:pt>
                <c:pt idx="62">
                  <c:v>Hard hose</c:v>
                </c:pt>
                <c:pt idx="63">
                  <c:v>Traveller</c:v>
                </c:pt>
                <c:pt idx="64">
                  <c:v>Traveller</c:v>
                </c:pt>
                <c:pt idx="65">
                  <c:v>Traveller</c:v>
                </c:pt>
                <c:pt idx="66">
                  <c:v>Traveller</c:v>
                </c:pt>
                <c:pt idx="67">
                  <c:v>Solid set</c:v>
                </c:pt>
                <c:pt idx="68">
                  <c:v>Hard hose</c:v>
                </c:pt>
              </c:strCache>
            </c:strRef>
          </c:cat>
          <c:val>
            <c:numRef>
              <c:f>'data for graph'!$N$5:$N$73</c:f>
              <c:numCache>
                <c:formatCode>General</c:formatCode>
                <c:ptCount val="69"/>
                <c:pt idx="0">
                  <c:v>150</c:v>
                </c:pt>
                <c:pt idx="1">
                  <c:v>63.932967032979583</c:v>
                </c:pt>
                <c:pt idx="2">
                  <c:v>79.289780428300347</c:v>
                </c:pt>
                <c:pt idx="3">
                  <c:v>79.523809523809518</c:v>
                </c:pt>
                <c:pt idx="4">
                  <c:v>82.101806239737272</c:v>
                </c:pt>
                <c:pt idx="5">
                  <c:v>85.455154717868695</c:v>
                </c:pt>
                <c:pt idx="6">
                  <c:v>85.493858320713457</c:v>
                </c:pt>
                <c:pt idx="7">
                  <c:v>85.559006211071861</c:v>
                </c:pt>
                <c:pt idx="8">
                  <c:v>85.978835978835974</c:v>
                </c:pt>
                <c:pt idx="9">
                  <c:v>86.428013828482207</c:v>
                </c:pt>
                <c:pt idx="10">
                  <c:v>87.231352718078369</c:v>
                </c:pt>
                <c:pt idx="11">
                  <c:v>89.453745570084322</c:v>
                </c:pt>
                <c:pt idx="12">
                  <c:v>89.583333333333329</c:v>
                </c:pt>
                <c:pt idx="13">
                  <c:v>94.056706652126493</c:v>
                </c:pt>
                <c:pt idx="14">
                  <c:v>94.843049327383625</c:v>
                </c:pt>
                <c:pt idx="15">
                  <c:v>107.07986898463088</c:v>
                </c:pt>
                <c:pt idx="16">
                  <c:v>107.37628384687207</c:v>
                </c:pt>
                <c:pt idx="17">
                  <c:v>108.2251082251082</c:v>
                </c:pt>
                <c:pt idx="18">
                  <c:v>112.78195488721803</c:v>
                </c:pt>
                <c:pt idx="19">
                  <c:v>114.6384479717813</c:v>
                </c:pt>
                <c:pt idx="20">
                  <c:v>116.95906432748536</c:v>
                </c:pt>
                <c:pt idx="21">
                  <c:v>116.95906432748536</c:v>
                </c:pt>
                <c:pt idx="22">
                  <c:v>117.95031055885696</c:v>
                </c:pt>
                <c:pt idx="23">
                  <c:v>119.90179276427855</c:v>
                </c:pt>
                <c:pt idx="24">
                  <c:v>122.23639455782315</c:v>
                </c:pt>
                <c:pt idx="25">
                  <c:v>122.88786482334868</c:v>
                </c:pt>
                <c:pt idx="26">
                  <c:v>132.27513227513228</c:v>
                </c:pt>
                <c:pt idx="27">
                  <c:v>141.09347442680777</c:v>
                </c:pt>
                <c:pt idx="28">
                  <c:v>142.85714285714283</c:v>
                </c:pt>
                <c:pt idx="29">
                  <c:v>143.61300075585788</c:v>
                </c:pt>
                <c:pt idx="30">
                  <c:v>145.77259475218656</c:v>
                </c:pt>
                <c:pt idx="31">
                  <c:v>153.49544072948325</c:v>
                </c:pt>
                <c:pt idx="32">
                  <c:v>156.24999999999997</c:v>
                </c:pt>
                <c:pt idx="33">
                  <c:v>157.47039556563365</c:v>
                </c:pt>
                <c:pt idx="34">
                  <c:v>160.43834752444022</c:v>
                </c:pt>
                <c:pt idx="35">
                  <c:v>160.47444618873189</c:v>
                </c:pt>
                <c:pt idx="36">
                  <c:v>163.69047619047618</c:v>
                </c:pt>
                <c:pt idx="37">
                  <c:v>169.57528957528959</c:v>
                </c:pt>
                <c:pt idx="38">
                  <c:v>175.86580086580085</c:v>
                </c:pt>
                <c:pt idx="39">
                  <c:v>175.93244194229416</c:v>
                </c:pt>
                <c:pt idx="40">
                  <c:v>176.36684303350967</c:v>
                </c:pt>
                <c:pt idx="41">
                  <c:v>178.57142857142856</c:v>
                </c:pt>
                <c:pt idx="42">
                  <c:v>178.57142857142856</c:v>
                </c:pt>
                <c:pt idx="43">
                  <c:v>179.44677871148457</c:v>
                </c:pt>
                <c:pt idx="44">
                  <c:v>186.28478286179998</c:v>
                </c:pt>
                <c:pt idx="45">
                  <c:v>190.99947671376242</c:v>
                </c:pt>
                <c:pt idx="46">
                  <c:v>195.97069597069597</c:v>
                </c:pt>
                <c:pt idx="47">
                  <c:v>203.1368102796674</c:v>
                </c:pt>
                <c:pt idx="48">
                  <c:v>204.54917362133853</c:v>
                </c:pt>
                <c:pt idx="49">
                  <c:v>205.74534161490681</c:v>
                </c:pt>
                <c:pt idx="50">
                  <c:v>208.33333333333331</c:v>
                </c:pt>
                <c:pt idx="51">
                  <c:v>210.6227106227106</c:v>
                </c:pt>
                <c:pt idx="52">
                  <c:v>213.67521367521366</c:v>
                </c:pt>
                <c:pt idx="53">
                  <c:v>214.43359952676721</c:v>
                </c:pt>
                <c:pt idx="54">
                  <c:v>224.86772486772486</c:v>
                </c:pt>
                <c:pt idx="55">
                  <c:v>225.56390977443607</c:v>
                </c:pt>
                <c:pt idx="56">
                  <c:v>229.59183673469386</c:v>
                </c:pt>
                <c:pt idx="57">
                  <c:v>231.66023166023163</c:v>
                </c:pt>
                <c:pt idx="58">
                  <c:v>232.91925465838506</c:v>
                </c:pt>
                <c:pt idx="59">
                  <c:v>234.31594860166285</c:v>
                </c:pt>
                <c:pt idx="60">
                  <c:v>238.09523809523807</c:v>
                </c:pt>
                <c:pt idx="61">
                  <c:v>244.89795918367346</c:v>
                </c:pt>
                <c:pt idx="62">
                  <c:v>245.0980392156863</c:v>
                </c:pt>
                <c:pt idx="63">
                  <c:v>261.33241758241758</c:v>
                </c:pt>
                <c:pt idx="64">
                  <c:v>264.28571428571428</c:v>
                </c:pt>
                <c:pt idx="65">
                  <c:v>266.95526695526695</c:v>
                </c:pt>
                <c:pt idx="66">
                  <c:v>289.78696741854634</c:v>
                </c:pt>
                <c:pt idx="67">
                  <c:v>315.12605042016804</c:v>
                </c:pt>
                <c:pt idx="68">
                  <c:v>317.46031746031741</c:v>
                </c:pt>
              </c:numCache>
            </c:numRef>
          </c:val>
          <c:extLst>
            <c:ext xmlns:c16="http://schemas.microsoft.com/office/drawing/2014/chart" uri="{C3380CC4-5D6E-409C-BE32-E72D297353CC}">
              <c16:uniqueId val="{00000002-3A0C-4C2B-A864-83B69BE69CFA}"/>
            </c:ext>
          </c:extLst>
        </c:ser>
        <c:dLbls>
          <c:showLegendKey val="0"/>
          <c:showVal val="0"/>
          <c:showCatName val="0"/>
          <c:showSerName val="0"/>
          <c:showPercent val="0"/>
          <c:showBubbleSize val="0"/>
        </c:dLbls>
        <c:gapWidth val="219"/>
        <c:overlap val="-27"/>
        <c:axId val="482171136"/>
        <c:axId val="482172120"/>
      </c:barChart>
      <c:catAx>
        <c:axId val="482171136"/>
        <c:scaling>
          <c:orientation val="minMax"/>
        </c:scaling>
        <c:delete val="1"/>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All systems</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482172120"/>
        <c:crosses val="autoZero"/>
        <c:auto val="1"/>
        <c:lblAlgn val="ctr"/>
        <c:lblOffset val="100"/>
        <c:noMultiLvlLbl val="0"/>
      </c:catAx>
      <c:valAx>
        <c:axId val="482172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Pumping</a:t>
                </a:r>
                <a:r>
                  <a:rPr lang="en-US" baseline="0"/>
                  <a:t> cost </a:t>
                </a:r>
                <a:r>
                  <a:rPr lang="en-US"/>
                  <a:t>$/ML</a:t>
                </a:r>
              </a:p>
            </c:rich>
          </c:tx>
          <c:layout>
            <c:manualLayout>
              <c:xMode val="edge"/>
              <c:yMode val="edge"/>
              <c:x val="2.6395406610342256E-2"/>
              <c:y val="0.299043213901574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21711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AU"/>
              <a:t>Benchmark pumping costs</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729431273545801E-2"/>
          <c:y val="0.12455645305650928"/>
          <c:w val="0.79487877236993199"/>
          <c:h val="0.64778905999059078"/>
        </c:manualLayout>
      </c:layout>
      <c:barChart>
        <c:barDir val="col"/>
        <c:grouping val="stacked"/>
        <c:varyColors val="0"/>
        <c:ser>
          <c:idx val="0"/>
          <c:order val="0"/>
          <c:tx>
            <c:strRef>
              <c:f>'data for graph'!$AA$3:$AF$3</c:f>
              <c:strCache>
                <c:ptCount val="1"/>
                <c:pt idx="0">
                  <c:v>Variable head total</c:v>
                </c:pt>
              </c:strCache>
            </c:strRef>
          </c:tx>
          <c:spPr>
            <a:solidFill>
              <a:schemeClr val="accent1"/>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2-72A4-4A6D-92EC-7F7E4DF2FBBE}"/>
              </c:ext>
            </c:extLst>
          </c:dPt>
          <c:dLbls>
            <c:dLbl>
              <c:idx val="0"/>
              <c:layout>
                <c:manualLayout>
                  <c:x val="3.3728881291685872E-2"/>
                  <c:y val="-0.40030577184080796"/>
                </c:manualLayout>
              </c:layout>
              <c:tx>
                <c:rich>
                  <a:bodyPr/>
                  <a:lstStyle/>
                  <a:p>
                    <a:fld id="{34BD4EC9-F38D-4368-9050-F38C1E0D780A}" type="CELLRANGE">
                      <a:rPr lang="en-US"/>
                      <a:pPr/>
                      <a:t>[CELLRANGE]</a:t>
                    </a:fld>
                    <a:r>
                      <a:rPr lang="en-US" baseline="0"/>
                      <a:t> </a:t>
                    </a:r>
                  </a:p>
                </c:rich>
              </c:tx>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72A4-4A6D-92EC-7F7E4DF2FBBE}"/>
                </c:ext>
              </c:extLst>
            </c:dLbl>
            <c:dLbl>
              <c:idx val="1"/>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3-72A4-4A6D-92EC-7F7E4DF2FBBE}"/>
                </c:ext>
              </c:extLst>
            </c:dLbl>
            <c:dLbl>
              <c:idx val="2"/>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4-72A4-4A6D-92EC-7F7E4DF2FBBE}"/>
                </c:ext>
              </c:extLst>
            </c:dLbl>
            <c:dLbl>
              <c:idx val="3"/>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5-72A4-4A6D-92EC-7F7E4DF2FBBE}"/>
                </c:ext>
              </c:extLst>
            </c:dLbl>
            <c:dLbl>
              <c:idx val="4"/>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6-72A4-4A6D-92EC-7F7E4DF2FBBE}"/>
                </c:ext>
              </c:extLst>
            </c:dLbl>
            <c:dLbl>
              <c:idx val="5"/>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7-72A4-4A6D-92EC-7F7E4DF2FBBE}"/>
                </c:ext>
              </c:extLst>
            </c:dLbl>
            <c:dLbl>
              <c:idx val="6"/>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8-72A4-4A6D-92EC-7F7E4DF2FBBE}"/>
                </c:ext>
              </c:extLst>
            </c:dLbl>
            <c:dLbl>
              <c:idx val="7"/>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9-72A4-4A6D-92EC-7F7E4DF2FBBE}"/>
                </c:ext>
              </c:extLst>
            </c:dLbl>
            <c:dLbl>
              <c:idx val="8"/>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A-72A4-4A6D-92EC-7F7E4DF2FBBE}"/>
                </c:ext>
              </c:extLst>
            </c:dLbl>
            <c:dLbl>
              <c:idx val="9"/>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B-72A4-4A6D-92EC-7F7E4DF2FBBE}"/>
                </c:ext>
              </c:extLst>
            </c:dLbl>
            <c:dLbl>
              <c:idx val="10"/>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C-72A4-4A6D-92EC-7F7E4DF2FBBE}"/>
                </c:ext>
              </c:extLst>
            </c:dLbl>
            <c:dLbl>
              <c:idx val="11"/>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D-72A4-4A6D-92EC-7F7E4DF2FBBE}"/>
                </c:ext>
              </c:extLst>
            </c:dLbl>
            <c:dLbl>
              <c:idx val="12"/>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E-72A4-4A6D-92EC-7F7E4DF2FBBE}"/>
                </c:ext>
              </c:extLst>
            </c:dLbl>
            <c:dLbl>
              <c:idx val="13"/>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F-72A4-4A6D-92EC-7F7E4DF2FBBE}"/>
                </c:ext>
              </c:extLst>
            </c:dLbl>
            <c:dLbl>
              <c:idx val="14"/>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0-72A4-4A6D-92EC-7F7E4DF2FBBE}"/>
                </c:ext>
              </c:extLst>
            </c:dLbl>
            <c:dLbl>
              <c:idx val="15"/>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1-72A4-4A6D-92EC-7F7E4DF2FBBE}"/>
                </c:ext>
              </c:extLst>
            </c:dLbl>
            <c:dLbl>
              <c:idx val="16"/>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2-72A4-4A6D-92EC-7F7E4DF2FBBE}"/>
                </c:ext>
              </c:extLst>
            </c:dLbl>
            <c:dLbl>
              <c:idx val="17"/>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3-72A4-4A6D-92EC-7F7E4DF2FBBE}"/>
                </c:ext>
              </c:extLst>
            </c:dLbl>
            <c:dLbl>
              <c:idx val="18"/>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4-72A4-4A6D-92EC-7F7E4DF2FBBE}"/>
                </c:ext>
              </c:extLst>
            </c:dLbl>
            <c:dLbl>
              <c:idx val="19"/>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5-72A4-4A6D-92EC-7F7E4DF2FBBE}"/>
                </c:ext>
              </c:extLst>
            </c:dLbl>
            <c:dLbl>
              <c:idx val="20"/>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6-72A4-4A6D-92EC-7F7E4DF2FBBE}"/>
                </c:ext>
              </c:extLst>
            </c:dLbl>
            <c:dLbl>
              <c:idx val="21"/>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7-72A4-4A6D-92EC-7F7E4DF2FBBE}"/>
                </c:ext>
              </c:extLst>
            </c:dLbl>
            <c:dLbl>
              <c:idx val="22"/>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8-72A4-4A6D-92EC-7F7E4DF2FBBE}"/>
                </c:ext>
              </c:extLst>
            </c:dLbl>
            <c:dLbl>
              <c:idx val="23"/>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9-72A4-4A6D-92EC-7F7E4DF2FBBE}"/>
                </c:ext>
              </c:extLst>
            </c:dLbl>
            <c:dLbl>
              <c:idx val="24"/>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A-72A4-4A6D-92EC-7F7E4DF2FBBE}"/>
                </c:ext>
              </c:extLst>
            </c:dLbl>
            <c:dLbl>
              <c:idx val="25"/>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B-72A4-4A6D-92EC-7F7E4DF2FBBE}"/>
                </c:ext>
              </c:extLst>
            </c:dLbl>
            <c:dLbl>
              <c:idx val="26"/>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C-72A4-4A6D-92EC-7F7E4DF2FBBE}"/>
                </c:ext>
              </c:extLst>
            </c:dLbl>
            <c:dLbl>
              <c:idx val="27"/>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D-72A4-4A6D-92EC-7F7E4DF2FBBE}"/>
                </c:ext>
              </c:extLst>
            </c:dLbl>
            <c:dLbl>
              <c:idx val="28"/>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E-72A4-4A6D-92EC-7F7E4DF2FBBE}"/>
                </c:ext>
              </c:extLst>
            </c:dLbl>
            <c:dLbl>
              <c:idx val="29"/>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F-72A4-4A6D-92EC-7F7E4DF2FBBE}"/>
                </c:ext>
              </c:extLst>
            </c:dLbl>
            <c:dLbl>
              <c:idx val="30"/>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0-72A4-4A6D-92EC-7F7E4DF2FBBE}"/>
                </c:ext>
              </c:extLst>
            </c:dLbl>
            <c:dLbl>
              <c:idx val="31"/>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1-72A4-4A6D-92EC-7F7E4DF2FBBE}"/>
                </c:ext>
              </c:extLst>
            </c:dLbl>
            <c:dLbl>
              <c:idx val="32"/>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2-72A4-4A6D-92EC-7F7E4DF2FBBE}"/>
                </c:ext>
              </c:extLst>
            </c:dLbl>
            <c:dLbl>
              <c:idx val="33"/>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3-72A4-4A6D-92EC-7F7E4DF2FBBE}"/>
                </c:ext>
              </c:extLst>
            </c:dLbl>
            <c:dLbl>
              <c:idx val="34"/>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4-72A4-4A6D-92EC-7F7E4DF2FBBE}"/>
                </c:ext>
              </c:extLst>
            </c:dLbl>
            <c:dLbl>
              <c:idx val="35"/>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5-72A4-4A6D-92EC-7F7E4DF2FBBE}"/>
                </c:ext>
              </c:extLst>
            </c:dLbl>
            <c:dLbl>
              <c:idx val="36"/>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6-72A4-4A6D-92EC-7F7E4DF2FBBE}"/>
                </c:ext>
              </c:extLst>
            </c:dLbl>
            <c:dLbl>
              <c:idx val="37"/>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7-72A4-4A6D-92EC-7F7E4DF2FBBE}"/>
                </c:ext>
              </c:extLst>
            </c:dLbl>
            <c:dLbl>
              <c:idx val="38"/>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8-72A4-4A6D-92EC-7F7E4DF2FBBE}"/>
                </c:ext>
              </c:extLst>
            </c:dLbl>
            <c:dLbl>
              <c:idx val="39"/>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9-72A4-4A6D-92EC-7F7E4DF2FBBE}"/>
                </c:ext>
              </c:extLst>
            </c:dLbl>
            <c:dLbl>
              <c:idx val="40"/>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A-72A4-4A6D-92EC-7F7E4DF2FBBE}"/>
                </c:ext>
              </c:extLst>
            </c:dLbl>
            <c:dLbl>
              <c:idx val="41"/>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B-72A4-4A6D-92EC-7F7E4DF2FBBE}"/>
                </c:ext>
              </c:extLst>
            </c:dLbl>
            <c:dLbl>
              <c:idx val="42"/>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C-72A4-4A6D-92EC-7F7E4DF2FBBE}"/>
                </c:ext>
              </c:extLst>
            </c:dLbl>
            <c:dLbl>
              <c:idx val="43"/>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D-72A4-4A6D-92EC-7F7E4DF2FBBE}"/>
                </c:ext>
              </c:extLst>
            </c:dLbl>
            <c:dLbl>
              <c:idx val="44"/>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E-72A4-4A6D-92EC-7F7E4DF2FBBE}"/>
                </c:ext>
              </c:extLst>
            </c:dLbl>
            <c:dLbl>
              <c:idx val="45"/>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F-72A4-4A6D-92EC-7F7E4DF2FBBE}"/>
                </c:ext>
              </c:extLst>
            </c:dLbl>
            <c:dLbl>
              <c:idx val="46"/>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30-72A4-4A6D-92EC-7F7E4DF2FBBE}"/>
                </c:ext>
              </c:extLst>
            </c:dLbl>
            <c:dLbl>
              <c:idx val="47"/>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31-72A4-4A6D-92EC-7F7E4DF2FBBE}"/>
                </c:ext>
              </c:extLst>
            </c:dLbl>
            <c:dLbl>
              <c:idx val="48"/>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32-72A4-4A6D-92EC-7F7E4DF2FBBE}"/>
                </c:ext>
              </c:extLst>
            </c:dLbl>
            <c:dLbl>
              <c:idx val="49"/>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33-72A4-4A6D-92EC-7F7E4DF2FBBE}"/>
                </c:ext>
              </c:extLst>
            </c:dLbl>
            <c:dLbl>
              <c:idx val="50"/>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34-72A4-4A6D-92EC-7F7E4DF2FBB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'data for graph'!$U$5:$V$55</c:f>
              <c:multiLvlStrCache>
                <c:ptCount val="51"/>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6">
                    <c:v> </c:v>
                  </c:pt>
                  <c:pt idx="28">
                    <c:v> </c:v>
                  </c:pt>
                  <c:pt idx="29">
                    <c:v> </c:v>
                  </c:pt>
                  <c:pt idx="30">
                    <c:v> </c:v>
                  </c:pt>
                  <c:pt idx="31">
                    <c:v> </c:v>
                  </c:pt>
                  <c:pt idx="32">
                    <c:v> </c:v>
                  </c:pt>
                  <c:pt idx="33">
                    <c:v> </c:v>
                  </c:pt>
                  <c:pt idx="34">
                    <c:v> </c:v>
                  </c:pt>
                  <c:pt idx="35">
                    <c:v> </c:v>
                  </c:pt>
                  <c:pt idx="36">
                    <c:v> </c:v>
                  </c:pt>
                  <c:pt idx="37">
                    <c:v> </c:v>
                  </c:pt>
                  <c:pt idx="39">
                    <c:v> </c:v>
                  </c:pt>
                  <c:pt idx="40">
                    <c:v> </c:v>
                  </c:pt>
                  <c:pt idx="41">
                    <c:v> </c:v>
                  </c:pt>
                  <c:pt idx="42">
                    <c:v> </c:v>
                  </c:pt>
                  <c:pt idx="43">
                    <c:v> </c:v>
                  </c:pt>
                  <c:pt idx="44">
                    <c:v> </c:v>
                  </c:pt>
                  <c:pt idx="50">
                    <c:v> </c:v>
                  </c:pt>
                </c:lvl>
                <c:lvl>
                  <c:pt idx="1">
                    <c:v>Drip</c:v>
                  </c:pt>
                  <c:pt idx="4">
                    <c:v>Solid set</c:v>
                  </c:pt>
                  <c:pt idx="9">
                    <c:v>Pivot</c:v>
                  </c:pt>
                  <c:pt idx="26">
                    <c:v>Lateral move</c:v>
                  </c:pt>
                  <c:pt idx="27">
                    <c:v>Traveller</c:v>
                  </c:pt>
                  <c:pt idx="37">
                    <c:v>Micrsprays</c:v>
                  </c:pt>
                  <c:pt idx="39">
                    <c:v>Bike Shift</c:v>
                  </c:pt>
                  <c:pt idx="44">
                    <c:v>Hard hose</c:v>
                  </c:pt>
                  <c:pt idx="49">
                    <c:v>K-line</c:v>
                  </c:pt>
                </c:lvl>
              </c:multiLvlStrCache>
            </c:multiLvlStrRef>
          </c:cat>
          <c:val>
            <c:numRef>
              <c:f>'data for graph'!$AD$5:$AD$55</c:f>
              <c:numCache>
                <c:formatCode>General</c:formatCode>
                <c:ptCount val="51"/>
                <c:pt idx="0">
                  <c:v>150</c:v>
                </c:pt>
                <c:pt idx="1">
                  <c:v>125.52767052767052</c:v>
                </c:pt>
                <c:pt idx="2">
                  <c:v>135.71428571428569</c:v>
                </c:pt>
                <c:pt idx="3">
                  <c:v>201.01389587525151</c:v>
                </c:pt>
                <c:pt idx="4">
                  <c:v>93.46146855688842</c:v>
                </c:pt>
                <c:pt idx="5">
                  <c:v>110.98310291858678</c:v>
                </c:pt>
                <c:pt idx="6">
                  <c:v>136.66492237920809</c:v>
                </c:pt>
                <c:pt idx="7">
                  <c:v>132.4404761904762</c:v>
                </c:pt>
                <c:pt idx="8">
                  <c:v>161.90476190476187</c:v>
                </c:pt>
                <c:pt idx="9">
                  <c:v>44.877999366900802</c:v>
                </c:pt>
                <c:pt idx="10">
                  <c:v>62.225672877738532</c:v>
                </c:pt>
                <c:pt idx="11">
                  <c:v>71.194542333062259</c:v>
                </c:pt>
                <c:pt idx="12">
                  <c:v>62.838623301267916</c:v>
                </c:pt>
                <c:pt idx="13">
                  <c:v>62.891955260770587</c:v>
                </c:pt>
                <c:pt idx="14">
                  <c:v>64.607065461124719</c:v>
                </c:pt>
                <c:pt idx="15">
                  <c:v>66.822373912363602</c:v>
                </c:pt>
                <c:pt idx="16">
                  <c:v>72.230281919216552</c:v>
                </c:pt>
                <c:pt idx="17">
                  <c:v>78.333333333333343</c:v>
                </c:pt>
                <c:pt idx="18">
                  <c:v>78.332775733244105</c:v>
                </c:pt>
                <c:pt idx="19">
                  <c:v>83.270345175107067</c:v>
                </c:pt>
                <c:pt idx="20">
                  <c:v>99.663697526183356</c:v>
                </c:pt>
                <c:pt idx="21">
                  <c:v>94.607321387189955</c:v>
                </c:pt>
                <c:pt idx="22">
                  <c:v>118.70035328114378</c:v>
                </c:pt>
                <c:pt idx="23">
                  <c:v>131.70823885109598</c:v>
                </c:pt>
                <c:pt idx="24">
                  <c:v>174.54212454212453</c:v>
                </c:pt>
                <c:pt idx="25">
                  <c:v>186.8131868131868</c:v>
                </c:pt>
                <c:pt idx="26">
                  <c:v>179.55486542443063</c:v>
                </c:pt>
                <c:pt idx="27">
                  <c:v>129.18871252204585</c:v>
                </c:pt>
                <c:pt idx="28">
                  <c:v>149.67532467532465</c:v>
                </c:pt>
                <c:pt idx="29">
                  <c:v>152.97619047619048</c:v>
                </c:pt>
                <c:pt idx="30">
                  <c:v>155.63725490196074</c:v>
                </c:pt>
                <c:pt idx="31">
                  <c:v>162.47525905227619</c:v>
                </c:pt>
                <c:pt idx="32">
                  <c:v>193.8348879070528</c:v>
                </c:pt>
                <c:pt idx="33">
                  <c:v>191.2320483749055</c:v>
                </c:pt>
                <c:pt idx="34">
                  <c:v>195.81807081807079</c:v>
                </c:pt>
                <c:pt idx="35">
                  <c:v>218.70748299319729</c:v>
                </c:pt>
                <c:pt idx="36">
                  <c:v>222.20496894409933</c:v>
                </c:pt>
                <c:pt idx="37">
                  <c:v>220.10582010582004</c:v>
                </c:pt>
                <c:pt idx="38">
                  <c:v>70.197044334975359</c:v>
                </c:pt>
                <c:pt idx="39">
                  <c:v>211.69690098261523</c:v>
                </c:pt>
                <c:pt idx="40">
                  <c:v>222.13642213642214</c:v>
                </c:pt>
                <c:pt idx="41">
                  <c:v>223.63945578231289</c:v>
                </c:pt>
                <c:pt idx="42">
                  <c:v>213.09523809523807</c:v>
                </c:pt>
                <c:pt idx="43">
                  <c:v>247.90764790764791</c:v>
                </c:pt>
                <c:pt idx="44">
                  <c:v>74.074074074074062</c:v>
                </c:pt>
                <c:pt idx="45">
                  <c:v>103.8922661263087</c:v>
                </c:pt>
                <c:pt idx="46">
                  <c:v>133.66087175610986</c:v>
                </c:pt>
                <c:pt idx="47">
                  <c:v>128.6425017768301</c:v>
                </c:pt>
                <c:pt idx="48">
                  <c:v>164.46208112874774</c:v>
                </c:pt>
                <c:pt idx="49">
                  <c:v>102.73368606701941</c:v>
                </c:pt>
                <c:pt idx="50">
                  <c:v>102.51322751322751</c:v>
                </c:pt>
              </c:numCache>
            </c:numRef>
          </c:val>
          <c:extLst>
            <c:ext xmlns:c15="http://schemas.microsoft.com/office/drawing/2012/chart" uri="{02D57815-91ED-43cb-92C2-25804820EDAC}">
              <c15:datalabelsRange>
                <c15:f>'data for graph'!$P$5</c15:f>
                <c15:dlblRangeCache>
                  <c:ptCount val="1"/>
                  <c:pt idx="0">
                    <c:v>Your system</c:v>
                  </c:pt>
                </c15:dlblRangeCache>
              </c15:datalabelsRange>
            </c:ext>
            <c:ext xmlns:c16="http://schemas.microsoft.com/office/drawing/2014/chart" uri="{C3380CC4-5D6E-409C-BE32-E72D297353CC}">
              <c16:uniqueId val="{00000035-72A4-4A6D-92EC-7F7E4DF2FBBE}"/>
            </c:ext>
          </c:extLst>
        </c:ser>
        <c:ser>
          <c:idx val="1"/>
          <c:order val="1"/>
          <c:tx>
            <c:strRef>
              <c:f>'data for graph'!$V$3:$Z$3</c:f>
              <c:strCache>
                <c:ptCount val="1"/>
                <c:pt idx="0">
                  <c:v>Static head</c:v>
                </c:pt>
              </c:strCache>
            </c:strRef>
          </c:tx>
          <c:spPr>
            <a:solidFill>
              <a:schemeClr val="accent2"/>
            </a:solidFill>
            <a:ln>
              <a:noFill/>
            </a:ln>
            <a:effectLst/>
          </c:spPr>
          <c:invertIfNegative val="0"/>
          <c:cat>
            <c:multiLvlStrRef>
              <c:f>'data for graph'!$U$5:$V$55</c:f>
              <c:multiLvlStrCache>
                <c:ptCount val="51"/>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6">
                    <c:v> </c:v>
                  </c:pt>
                  <c:pt idx="28">
                    <c:v> </c:v>
                  </c:pt>
                  <c:pt idx="29">
                    <c:v> </c:v>
                  </c:pt>
                  <c:pt idx="30">
                    <c:v> </c:v>
                  </c:pt>
                  <c:pt idx="31">
                    <c:v> </c:v>
                  </c:pt>
                  <c:pt idx="32">
                    <c:v> </c:v>
                  </c:pt>
                  <c:pt idx="33">
                    <c:v> </c:v>
                  </c:pt>
                  <c:pt idx="34">
                    <c:v> </c:v>
                  </c:pt>
                  <c:pt idx="35">
                    <c:v> </c:v>
                  </c:pt>
                  <c:pt idx="36">
                    <c:v> </c:v>
                  </c:pt>
                  <c:pt idx="37">
                    <c:v> </c:v>
                  </c:pt>
                  <c:pt idx="39">
                    <c:v> </c:v>
                  </c:pt>
                  <c:pt idx="40">
                    <c:v> </c:v>
                  </c:pt>
                  <c:pt idx="41">
                    <c:v> </c:v>
                  </c:pt>
                  <c:pt idx="42">
                    <c:v> </c:v>
                  </c:pt>
                  <c:pt idx="43">
                    <c:v> </c:v>
                  </c:pt>
                  <c:pt idx="44">
                    <c:v> </c:v>
                  </c:pt>
                  <c:pt idx="50">
                    <c:v> </c:v>
                  </c:pt>
                </c:lvl>
                <c:lvl>
                  <c:pt idx="1">
                    <c:v>Drip</c:v>
                  </c:pt>
                  <c:pt idx="4">
                    <c:v>Solid set</c:v>
                  </c:pt>
                  <c:pt idx="9">
                    <c:v>Pivot</c:v>
                  </c:pt>
                  <c:pt idx="26">
                    <c:v>Lateral move</c:v>
                  </c:pt>
                  <c:pt idx="27">
                    <c:v>Traveller</c:v>
                  </c:pt>
                  <c:pt idx="37">
                    <c:v>Micrsprays</c:v>
                  </c:pt>
                  <c:pt idx="39">
                    <c:v>Bike Shift</c:v>
                  </c:pt>
                  <c:pt idx="44">
                    <c:v>Hard hose</c:v>
                  </c:pt>
                  <c:pt idx="49">
                    <c:v>K-line</c:v>
                  </c:pt>
                </c:lvl>
              </c:multiLvlStrCache>
            </c:multiLvlStrRef>
          </c:cat>
          <c:val>
            <c:numRef>
              <c:f>'data for graph'!$Z$5:$Z$55</c:f>
              <c:numCache>
                <c:formatCode>General</c:formatCode>
                <c:ptCount val="51"/>
                <c:pt idx="0">
                  <c:v>0</c:v>
                </c:pt>
                <c:pt idx="1">
                  <c:v>44.047619047619058</c:v>
                </c:pt>
                <c:pt idx="2">
                  <c:v>42.857142857142854</c:v>
                </c:pt>
                <c:pt idx="3">
                  <c:v>7.3194374580818238</c:v>
                </c:pt>
                <c:pt idx="4">
                  <c:v>11.904761904761903</c:v>
                </c:pt>
                <c:pt idx="5">
                  <c:v>23.80952380952381</c:v>
                </c:pt>
                <c:pt idx="6">
                  <c:v>16.666666666666664</c:v>
                </c:pt>
                <c:pt idx="7">
                  <c:v>23.809523809523807</c:v>
                </c:pt>
                <c:pt idx="8">
                  <c:v>23.809523809523807</c:v>
                </c:pt>
                <c:pt idx="9">
                  <c:v>8.0952380952380931</c:v>
                </c:pt>
                <c:pt idx="10">
                  <c:v>8.0952380952380931</c:v>
                </c:pt>
                <c:pt idx="11">
                  <c:v>1.1904761904761905</c:v>
                </c:pt>
                <c:pt idx="12">
                  <c:v>22.601903059942853</c:v>
                </c:pt>
                <c:pt idx="13">
                  <c:v>23.333333333333336</c:v>
                </c:pt>
                <c:pt idx="14">
                  <c:v>22.63137165772071</c:v>
                </c:pt>
                <c:pt idx="15">
                  <c:v>22.612767408167063</c:v>
                </c:pt>
                <c:pt idx="16">
                  <c:v>23.809523809523807</c:v>
                </c:pt>
                <c:pt idx="17">
                  <c:v>22.616531416600772</c:v>
                </c:pt>
                <c:pt idx="18">
                  <c:v>22.624287256953654</c:v>
                </c:pt>
                <c:pt idx="19">
                  <c:v>23.342989171667007</c:v>
                </c:pt>
                <c:pt idx="20">
                  <c:v>11.904761904761905</c:v>
                </c:pt>
                <c:pt idx="21">
                  <c:v>20.238095238095244</c:v>
                </c:pt>
                <c:pt idx="22">
                  <c:v>21.428571428571431</c:v>
                </c:pt>
                <c:pt idx="23">
                  <c:v>41.737994243296448</c:v>
                </c:pt>
                <c:pt idx="24">
                  <c:v>26.190476190476183</c:v>
                </c:pt>
                <c:pt idx="25">
                  <c:v>19.054967666078774</c:v>
                </c:pt>
                <c:pt idx="26">
                  <c:v>10.714285714285712</c:v>
                </c:pt>
                <c:pt idx="27">
                  <c:v>23.809523809523814</c:v>
                </c:pt>
                <c:pt idx="28">
                  <c:v>11.904761904761905</c:v>
                </c:pt>
                <c:pt idx="29">
                  <c:v>9.5238095238095219</c:v>
                </c:pt>
                <c:pt idx="30">
                  <c:v>17.857142857142851</c:v>
                </c:pt>
                <c:pt idx="31">
                  <c:v>22.619047619047613</c:v>
                </c:pt>
                <c:pt idx="32">
                  <c:v>10.714285714285719</c:v>
                </c:pt>
                <c:pt idx="33">
                  <c:v>25.000000000000004</c:v>
                </c:pt>
                <c:pt idx="34">
                  <c:v>19.047619047619051</c:v>
                </c:pt>
                <c:pt idx="35">
                  <c:v>5.9523809523809517</c:v>
                </c:pt>
                <c:pt idx="36">
                  <c:v>4.7619047619047619</c:v>
                </c:pt>
                <c:pt idx="37">
                  <c:v>0.59523809523809534</c:v>
                </c:pt>
                <c:pt idx="38">
                  <c:v>11.904761904761905</c:v>
                </c:pt>
                <c:pt idx="39">
                  <c:v>14.214641080312719</c:v>
                </c:pt>
                <c:pt idx="40">
                  <c:v>11.904761904761905</c:v>
                </c:pt>
                <c:pt idx="41">
                  <c:v>11.904761904761905</c:v>
                </c:pt>
                <c:pt idx="42">
                  <c:v>49.603174603174594</c:v>
                </c:pt>
                <c:pt idx="43">
                  <c:v>23.809523809523807</c:v>
                </c:pt>
                <c:pt idx="44">
                  <c:v>11.904761904761905</c:v>
                </c:pt>
                <c:pt idx="45">
                  <c:v>23.809523809523807</c:v>
                </c:pt>
                <c:pt idx="46">
                  <c:v>10.714285714285714</c:v>
                </c:pt>
                <c:pt idx="47">
                  <c:v>26.190476190476183</c:v>
                </c:pt>
                <c:pt idx="48">
                  <c:v>26.19047619047619</c:v>
                </c:pt>
                <c:pt idx="49">
                  <c:v>11.904761904761902</c:v>
                </c:pt>
                <c:pt idx="50">
                  <c:v>29.761904761904759</c:v>
                </c:pt>
              </c:numCache>
            </c:numRef>
          </c:val>
          <c:extLst>
            <c:ext xmlns:c16="http://schemas.microsoft.com/office/drawing/2014/chart" uri="{C3380CC4-5D6E-409C-BE32-E72D297353CC}">
              <c16:uniqueId val="{00000000-72A4-4A6D-92EC-7F7E4DF2FBBE}"/>
            </c:ext>
          </c:extLst>
        </c:ser>
        <c:dLbls>
          <c:showLegendKey val="0"/>
          <c:showVal val="0"/>
          <c:showCatName val="0"/>
          <c:showSerName val="0"/>
          <c:showPercent val="0"/>
          <c:showBubbleSize val="0"/>
        </c:dLbls>
        <c:gapWidth val="55"/>
        <c:overlap val="100"/>
        <c:axId val="482171136"/>
        <c:axId val="482172120"/>
      </c:barChart>
      <c:catAx>
        <c:axId val="48217113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System type</a:t>
                </a:r>
              </a:p>
            </c:rich>
          </c:tx>
          <c:layout>
            <c:manualLayout>
              <c:xMode val="edge"/>
              <c:yMode val="edge"/>
              <c:x val="0.45285196377261011"/>
              <c:y val="0.9103451509988347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2172120"/>
        <c:crosses val="autoZero"/>
        <c:auto val="0"/>
        <c:lblAlgn val="ctr"/>
        <c:lblOffset val="100"/>
        <c:noMultiLvlLbl val="0"/>
      </c:catAx>
      <c:valAx>
        <c:axId val="482172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AU"/>
                  <a:t>Pumping costs</a:t>
                </a:r>
                <a:r>
                  <a:rPr lang="en-AU" baseline="0"/>
                  <a:t> $/ML</a:t>
                </a:r>
                <a:endParaRPr lang="en-AU"/>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2171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12015715016748E-2"/>
          <c:y val="7.5236022632849286E-2"/>
          <c:w val="0.82184397163120571"/>
          <c:h val="0.86292834890965731"/>
        </c:manualLayout>
      </c:layout>
      <c:scatterChart>
        <c:scatterStyle val="smoothMarker"/>
        <c:varyColors val="0"/>
        <c:ser>
          <c:idx val="0"/>
          <c:order val="0"/>
          <c:spPr>
            <a:ln w="38100" cap="rnd">
              <a:solidFill>
                <a:srgbClr val="00B0F0"/>
              </a:solidFill>
              <a:prstDash val="sysDash"/>
              <a:round/>
            </a:ln>
            <a:effectLst/>
          </c:spPr>
          <c:marker>
            <c:symbol val="none"/>
          </c:marker>
          <c:dLbls>
            <c:dLbl>
              <c:idx val="0"/>
              <c:layout>
                <c:manualLayout>
                  <c:x val="3.7453040704022666E-2"/>
                  <c:y val="-7.3701899536892559E-2"/>
                </c:manualLayout>
              </c:layout>
              <c:tx>
                <c:rich>
                  <a:bodyPr rot="0" spcFirstLastPara="1" vertOverflow="ellipsis" vert="horz" wrap="square" lIns="38100" tIns="19050" rIns="38100" bIns="19050" anchor="ctr" anchorCtr="0">
                    <a:spAutoFit/>
                  </a:bodyPr>
                  <a:lstStyle/>
                  <a:p>
                    <a:pPr algn="l">
                      <a:defRPr sz="900" b="1" i="0" u="none" strike="noStrike" kern="1200" baseline="0">
                        <a:solidFill>
                          <a:schemeClr val="tx1">
                            <a:lumMod val="75000"/>
                            <a:lumOff val="25000"/>
                          </a:schemeClr>
                        </a:solidFill>
                        <a:latin typeface="+mn-lt"/>
                        <a:ea typeface="+mn-ea"/>
                        <a:cs typeface="+mn-cs"/>
                      </a:defRPr>
                    </a:pPr>
                    <a:fld id="{EEF0D5F5-6BEC-4FD6-BF58-EE864791CFA1}" type="CELLRANGE">
                      <a:rPr lang="en-US"/>
                      <a:pPr algn="l">
                        <a:defRPr b="1"/>
                      </a:pPr>
                      <a:t>[CELLRANGE]</a:t>
                    </a:fld>
                    <a:endParaRPr lang="en-AU"/>
                  </a:p>
                </c:rich>
              </c:tx>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29899495709103779"/>
                      <c:h val="0.1673030685979067"/>
                    </c:manualLayout>
                  </c15:layout>
                  <c15:dlblFieldTable/>
                  <c15:showDataLabelsRange val="1"/>
                </c:ext>
                <c:ext xmlns:c16="http://schemas.microsoft.com/office/drawing/2014/chart" uri="{C3380CC4-5D6E-409C-BE32-E72D297353CC}">
                  <c16:uniqueId val="{00000000-969D-46E6-B6A4-184248B3D0FD}"/>
                </c:ext>
              </c:extLst>
            </c:dLbl>
            <c:dLbl>
              <c:idx val="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69D-46E6-B6A4-184248B3D0FD}"/>
                </c:ext>
              </c:extLst>
            </c:dLbl>
            <c:dLbl>
              <c:idx val="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69D-46E6-B6A4-184248B3D0FD}"/>
                </c:ext>
              </c:extLst>
            </c:dLbl>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19050" cap="flat" cmpd="sng" algn="ctr">
                      <a:solidFill>
                        <a:srgbClr val="000000"/>
                      </a:solidFill>
                      <a:round/>
                    </a:ln>
                    <a:effectLst/>
                  </c:spPr>
                </c15:leaderLines>
              </c:ext>
            </c:extLst>
          </c:dLbls>
          <c:trendline>
            <c:spPr>
              <a:ln w="19050" cap="rnd">
                <a:solidFill>
                  <a:schemeClr val="accent1"/>
                </a:solidFill>
                <a:prstDash val="sysDot"/>
              </a:ln>
              <a:effectLst/>
            </c:spPr>
            <c:trendlineType val="log"/>
            <c:dispRSqr val="0"/>
            <c:dispEq val="0"/>
          </c:trendline>
          <c:trendline>
            <c:spPr>
              <a:ln w="19050" cap="rnd">
                <a:solidFill>
                  <a:schemeClr val="accent1"/>
                </a:solidFill>
                <a:prstDash val="sysDot"/>
              </a:ln>
              <a:effectLst/>
            </c:spPr>
            <c:trendlineType val="power"/>
            <c:dispRSqr val="0"/>
            <c:dispEq val="0"/>
          </c:trendline>
          <c:xVal>
            <c:numRef>
              <c:f>'Endgun models'!$I$35:$I$37</c:f>
              <c:numCache>
                <c:formatCode>General</c:formatCode>
                <c:ptCount val="3"/>
                <c:pt idx="0" formatCode="0.0">
                  <c:v>12.2</c:v>
                </c:pt>
                <c:pt idx="1">
                  <c:v>6.1</c:v>
                </c:pt>
                <c:pt idx="2">
                  <c:v>0</c:v>
                </c:pt>
              </c:numCache>
            </c:numRef>
          </c:xVal>
          <c:yVal>
            <c:numRef>
              <c:f>'Endgun models'!$J$35:$J$37</c:f>
              <c:numCache>
                <c:formatCode>General</c:formatCode>
                <c:ptCount val="3"/>
                <c:pt idx="0">
                  <c:v>1</c:v>
                </c:pt>
                <c:pt idx="1">
                  <c:v>12</c:v>
                </c:pt>
                <c:pt idx="2">
                  <c:v>10</c:v>
                </c:pt>
              </c:numCache>
            </c:numRef>
          </c:yVal>
          <c:smooth val="1"/>
          <c:extLst>
            <c:ext xmlns:c15="http://schemas.microsoft.com/office/drawing/2012/chart" uri="{02D57815-91ED-43cb-92C2-25804820EDAC}">
              <c15:datalabelsRange>
                <c15:f>'Endgun models'!$L$35</c15:f>
                <c15:dlblRangeCache>
                  <c:ptCount val="1"/>
                  <c:pt idx="0">
                    <c:v>12.2 m</c:v>
                  </c:pt>
                </c15:dlblRangeCache>
              </c15:datalabelsRange>
            </c:ext>
            <c:ext xmlns:c16="http://schemas.microsoft.com/office/drawing/2014/chart" uri="{C3380CC4-5D6E-409C-BE32-E72D297353CC}">
              <c16:uniqueId val="{00000005-969D-46E6-B6A4-184248B3D0FD}"/>
            </c:ext>
          </c:extLst>
        </c:ser>
        <c:ser>
          <c:idx val="1"/>
          <c:order val="1"/>
          <c:spPr>
            <a:ln w="38100" cap="rnd">
              <a:solidFill>
                <a:srgbClr val="00B0F0"/>
              </a:solidFill>
              <a:prstDash val="sysDash"/>
              <a:round/>
            </a:ln>
            <a:effectLst/>
          </c:spPr>
          <c:marker>
            <c:symbol val="none"/>
          </c:marker>
          <c:xVal>
            <c:numRef>
              <c:f>'Endgun models'!$I$38:$I$40</c:f>
              <c:numCache>
                <c:formatCode>General</c:formatCode>
                <c:ptCount val="3"/>
                <c:pt idx="0">
                  <c:v>9.76</c:v>
                </c:pt>
                <c:pt idx="1">
                  <c:v>4.88</c:v>
                </c:pt>
                <c:pt idx="2">
                  <c:v>0</c:v>
                </c:pt>
              </c:numCache>
            </c:numRef>
          </c:xVal>
          <c:yVal>
            <c:numRef>
              <c:f>'Endgun models'!$J$38:$J$40</c:f>
              <c:numCache>
                <c:formatCode>General</c:formatCode>
                <c:ptCount val="3"/>
                <c:pt idx="0">
                  <c:v>1</c:v>
                </c:pt>
                <c:pt idx="1">
                  <c:v>11.8</c:v>
                </c:pt>
                <c:pt idx="2">
                  <c:v>10</c:v>
                </c:pt>
              </c:numCache>
            </c:numRef>
          </c:yVal>
          <c:smooth val="1"/>
          <c:extLst>
            <c:ext xmlns:c16="http://schemas.microsoft.com/office/drawing/2014/chart" uri="{C3380CC4-5D6E-409C-BE32-E72D297353CC}">
              <c16:uniqueId val="{00000006-969D-46E6-B6A4-184248B3D0FD}"/>
            </c:ext>
          </c:extLst>
        </c:ser>
        <c:ser>
          <c:idx val="2"/>
          <c:order val="2"/>
          <c:spPr>
            <a:ln w="38100" cap="rnd">
              <a:solidFill>
                <a:srgbClr val="00B0F0"/>
              </a:solidFill>
              <a:prstDash val="sysDash"/>
              <a:round/>
            </a:ln>
            <a:effectLst/>
          </c:spPr>
          <c:marker>
            <c:symbol val="none"/>
          </c:marker>
          <c:xVal>
            <c:numRef>
              <c:f>'Endgun models'!$I$41:$I$43</c:f>
              <c:numCache>
                <c:formatCode>General</c:formatCode>
                <c:ptCount val="3"/>
                <c:pt idx="0">
                  <c:v>6.9714285714285706</c:v>
                </c:pt>
                <c:pt idx="1">
                  <c:v>3.4857142857142853</c:v>
                </c:pt>
                <c:pt idx="2">
                  <c:v>0</c:v>
                </c:pt>
              </c:numCache>
            </c:numRef>
          </c:xVal>
          <c:yVal>
            <c:numRef>
              <c:f>'Endgun models'!$J$41:$J$43</c:f>
              <c:numCache>
                <c:formatCode>General</c:formatCode>
                <c:ptCount val="3"/>
                <c:pt idx="0">
                  <c:v>1</c:v>
                </c:pt>
                <c:pt idx="1">
                  <c:v>11.600000000000001</c:v>
                </c:pt>
                <c:pt idx="2">
                  <c:v>10</c:v>
                </c:pt>
              </c:numCache>
            </c:numRef>
          </c:yVal>
          <c:smooth val="1"/>
          <c:extLst>
            <c:ext xmlns:c16="http://schemas.microsoft.com/office/drawing/2014/chart" uri="{C3380CC4-5D6E-409C-BE32-E72D297353CC}">
              <c16:uniqueId val="{00000007-969D-46E6-B6A4-184248B3D0FD}"/>
            </c:ext>
          </c:extLst>
        </c:ser>
        <c:ser>
          <c:idx val="3"/>
          <c:order val="3"/>
          <c:spPr>
            <a:ln w="38100" cap="rnd">
              <a:solidFill>
                <a:srgbClr val="00B0F0"/>
              </a:solidFill>
              <a:prstDash val="sysDash"/>
              <a:round/>
            </a:ln>
            <a:effectLst/>
          </c:spPr>
          <c:marker>
            <c:symbol val="none"/>
          </c:marker>
          <c:xVal>
            <c:numRef>
              <c:f>'Endgun models'!$I$44:$I$46</c:f>
              <c:numCache>
                <c:formatCode>General</c:formatCode>
                <c:ptCount val="3"/>
                <c:pt idx="0">
                  <c:v>4.88</c:v>
                </c:pt>
                <c:pt idx="1">
                  <c:v>2.44</c:v>
                </c:pt>
                <c:pt idx="2">
                  <c:v>0</c:v>
                </c:pt>
              </c:numCache>
            </c:numRef>
          </c:xVal>
          <c:yVal>
            <c:numRef>
              <c:f>'Endgun models'!$J$44:$J$46</c:f>
              <c:numCache>
                <c:formatCode>General</c:formatCode>
                <c:ptCount val="3"/>
                <c:pt idx="0">
                  <c:v>1</c:v>
                </c:pt>
                <c:pt idx="1">
                  <c:v>11.400000000000002</c:v>
                </c:pt>
                <c:pt idx="2">
                  <c:v>10</c:v>
                </c:pt>
              </c:numCache>
            </c:numRef>
          </c:yVal>
          <c:smooth val="1"/>
          <c:extLst>
            <c:ext xmlns:c16="http://schemas.microsoft.com/office/drawing/2014/chart" uri="{C3380CC4-5D6E-409C-BE32-E72D297353CC}">
              <c16:uniqueId val="{00000008-969D-46E6-B6A4-184248B3D0FD}"/>
            </c:ext>
          </c:extLst>
        </c:ser>
        <c:ser>
          <c:idx val="4"/>
          <c:order val="4"/>
          <c:spPr>
            <a:ln w="38100" cap="rnd">
              <a:solidFill>
                <a:srgbClr val="00B0F0"/>
              </a:solidFill>
              <a:prstDash val="sysDash"/>
              <a:round/>
            </a:ln>
            <a:effectLst/>
          </c:spPr>
          <c:marker>
            <c:symbol val="none"/>
          </c:marker>
          <c:xVal>
            <c:numRef>
              <c:f>'Endgun models'!$I$47:$I$49</c:f>
              <c:numCache>
                <c:formatCode>General</c:formatCode>
                <c:ptCount val="3"/>
                <c:pt idx="0">
                  <c:v>3.05</c:v>
                </c:pt>
                <c:pt idx="1">
                  <c:v>1.5249999999999999</c:v>
                </c:pt>
                <c:pt idx="2">
                  <c:v>0</c:v>
                </c:pt>
              </c:numCache>
            </c:numRef>
          </c:xVal>
          <c:yVal>
            <c:numRef>
              <c:f>'Endgun models'!$J$47:$J$49</c:f>
              <c:numCache>
                <c:formatCode>General</c:formatCode>
                <c:ptCount val="3"/>
                <c:pt idx="0">
                  <c:v>1</c:v>
                </c:pt>
                <c:pt idx="1">
                  <c:v>11.200000000000003</c:v>
                </c:pt>
                <c:pt idx="2">
                  <c:v>10</c:v>
                </c:pt>
              </c:numCache>
            </c:numRef>
          </c:yVal>
          <c:smooth val="1"/>
          <c:extLst>
            <c:ext xmlns:c16="http://schemas.microsoft.com/office/drawing/2014/chart" uri="{C3380CC4-5D6E-409C-BE32-E72D297353CC}">
              <c16:uniqueId val="{00000009-969D-46E6-B6A4-184248B3D0FD}"/>
            </c:ext>
          </c:extLst>
        </c:ser>
        <c:ser>
          <c:idx val="5"/>
          <c:order val="5"/>
          <c:spPr>
            <a:ln w="19050" cap="rnd">
              <a:solidFill>
                <a:srgbClr val="00B0F0"/>
              </a:solidFill>
              <a:prstDash val="sysDash"/>
              <a:round/>
            </a:ln>
            <a:effectLst/>
          </c:spPr>
          <c:marker>
            <c:symbol val="none"/>
          </c:marker>
          <c:dPt>
            <c:idx val="0"/>
            <c:marker>
              <c:symbol val="none"/>
            </c:marker>
            <c:bubble3D val="0"/>
            <c:spPr>
              <a:ln w="38100" cap="rnd">
                <a:solidFill>
                  <a:srgbClr val="00B0F0"/>
                </a:solidFill>
                <a:prstDash val="sysDash"/>
                <a:round/>
              </a:ln>
              <a:effectLst/>
            </c:spPr>
            <c:extLst>
              <c:ext xmlns:c16="http://schemas.microsoft.com/office/drawing/2014/chart" uri="{C3380CC4-5D6E-409C-BE32-E72D297353CC}">
                <c16:uniqueId val="{0000000B-969D-46E6-B6A4-184248B3D0FD}"/>
              </c:ext>
            </c:extLst>
          </c:dPt>
          <c:dPt>
            <c:idx val="1"/>
            <c:marker>
              <c:symbol val="none"/>
            </c:marker>
            <c:bubble3D val="0"/>
            <c:spPr>
              <a:ln w="38100" cap="rnd">
                <a:solidFill>
                  <a:srgbClr val="00B0F0"/>
                </a:solidFill>
                <a:prstDash val="sysDash"/>
                <a:round/>
              </a:ln>
              <a:effectLst/>
            </c:spPr>
            <c:extLst>
              <c:ext xmlns:c16="http://schemas.microsoft.com/office/drawing/2014/chart" uri="{C3380CC4-5D6E-409C-BE32-E72D297353CC}">
                <c16:uniqueId val="{0000000D-969D-46E6-B6A4-184248B3D0FD}"/>
              </c:ext>
            </c:extLst>
          </c:dPt>
          <c:xVal>
            <c:numRef>
              <c:f>'Endgun models'!$I$50:$I$52</c:f>
              <c:numCache>
                <c:formatCode>General</c:formatCode>
                <c:ptCount val="3"/>
                <c:pt idx="0">
                  <c:v>2.0333333333333332</c:v>
                </c:pt>
                <c:pt idx="1">
                  <c:v>1.0166666666666666</c:v>
                </c:pt>
                <c:pt idx="2">
                  <c:v>0</c:v>
                </c:pt>
              </c:numCache>
            </c:numRef>
          </c:xVal>
          <c:yVal>
            <c:numRef>
              <c:f>'Endgun models'!$J$50:$J$52</c:f>
              <c:numCache>
                <c:formatCode>General</c:formatCode>
                <c:ptCount val="3"/>
                <c:pt idx="0">
                  <c:v>1</c:v>
                </c:pt>
                <c:pt idx="1">
                  <c:v>11.000000000000004</c:v>
                </c:pt>
                <c:pt idx="2">
                  <c:v>10</c:v>
                </c:pt>
              </c:numCache>
            </c:numRef>
          </c:yVal>
          <c:smooth val="1"/>
          <c:extLst>
            <c:ext xmlns:c16="http://schemas.microsoft.com/office/drawing/2014/chart" uri="{C3380CC4-5D6E-409C-BE32-E72D297353CC}">
              <c16:uniqueId val="{0000000E-969D-46E6-B6A4-184248B3D0FD}"/>
            </c:ext>
          </c:extLst>
        </c:ser>
        <c:dLbls>
          <c:showLegendKey val="0"/>
          <c:showVal val="0"/>
          <c:showCatName val="0"/>
          <c:showSerName val="0"/>
          <c:showPercent val="0"/>
          <c:showBubbleSize val="0"/>
        </c:dLbls>
        <c:axId val="367319440"/>
        <c:axId val="367318128"/>
      </c:scatterChart>
      <c:valAx>
        <c:axId val="367319440"/>
        <c:scaling>
          <c:orientation val="minMax"/>
          <c:max val="70"/>
          <c:min val="0.1"/>
        </c:scaling>
        <c:delete val="0"/>
        <c:axPos val="b"/>
        <c:numFmt formatCode="0" sourceLinked="0"/>
        <c:majorTickMark val="out"/>
        <c:minorTickMark val="none"/>
        <c:tickLblPos val="nextTo"/>
        <c:spPr>
          <a:noFill/>
          <a:ln w="19050" cap="flat" cmpd="sng" algn="ctr">
            <a:solidFill>
              <a:sysClr val="windowText" lastClr="000000"/>
            </a:solidFill>
            <a:prstDash val="solid"/>
            <a:miter lim="800000"/>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7318128"/>
        <c:crosses val="autoZero"/>
        <c:crossBetween val="midCat"/>
        <c:majorUnit val="10"/>
        <c:minorUnit val="1"/>
      </c:valAx>
      <c:valAx>
        <c:axId val="367318128"/>
        <c:scaling>
          <c:orientation val="minMax"/>
          <c:min val="0"/>
        </c:scaling>
        <c:delete val="1"/>
        <c:axPos val="l"/>
        <c:numFmt formatCode="General" sourceLinked="1"/>
        <c:majorTickMark val="out"/>
        <c:minorTickMark val="none"/>
        <c:tickLblPos val="nextTo"/>
        <c:crossAx val="3673194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200" b="0" i="0" u="none" strike="noStrike" kern="1200" spc="0" baseline="0">
                <a:solidFill>
                  <a:schemeClr val="tx1">
                    <a:lumMod val="65000"/>
                    <a:lumOff val="35000"/>
                  </a:schemeClr>
                </a:solidFill>
                <a:latin typeface="+mn-lt"/>
                <a:ea typeface="+mn-ea"/>
                <a:cs typeface="+mn-cs"/>
              </a:defRPr>
            </a:pPr>
            <a:r>
              <a:rPr lang="en-AU" sz="1200" b="0" i="0" baseline="0">
                <a:effectLst/>
              </a:rPr>
              <a:t>Breakdown of pumping costs -  $/year </a:t>
            </a:r>
            <a:endParaRPr lang="en-AU" sz="1200">
              <a:effectLst/>
            </a:endParaRPr>
          </a:p>
        </c:rich>
      </c:tx>
      <c:overlay val="1"/>
      <c:spPr>
        <a:noFill/>
        <a:ln>
          <a:noFill/>
        </a:ln>
        <a:effectLst/>
      </c:spPr>
      <c:txPr>
        <a:bodyPr rot="0" spcFirstLastPara="1" vertOverflow="ellipsis" vert="horz" wrap="square" anchor="t" anchorCtr="0"/>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60561864991616"/>
          <c:y val="0.14909188977116916"/>
          <c:w val="0.34795434127781"/>
          <c:h val="0.70382430497135595"/>
        </c:manualLayout>
      </c:layout>
      <c:barChart>
        <c:barDir val="col"/>
        <c:grouping val="stacked"/>
        <c:varyColors val="0"/>
        <c:ser>
          <c:idx val="0"/>
          <c:order val="0"/>
          <c:tx>
            <c:strRef>
              <c:f>'STEP 2 Detailed analysis'!$AQ$7</c:f>
              <c:strCache>
                <c:ptCount val="1"/>
                <c:pt idx="0">
                  <c:v>Static head</c:v>
                </c:pt>
              </c:strCache>
            </c:strRef>
          </c:tx>
          <c:spPr>
            <a:solidFill>
              <a:schemeClr val="accent1"/>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analysis'!$AZ$7,'STEP 2 Detailed analysis'!$BF$7)</c:f>
              <c:numCache>
                <c:formatCode>_-"$"* #,##0_-;\-"$"* #,##0_-;_-"$"* "-"??_-;_-@_-</c:formatCode>
                <c:ptCount val="2"/>
                <c:pt idx="0">
                  <c:v>842.90316772714164</c:v>
                </c:pt>
                <c:pt idx="1">
                  <c:v>842.90316772714164</c:v>
                </c:pt>
              </c:numCache>
            </c:numRef>
          </c:val>
          <c:extLst>
            <c:ext xmlns:c16="http://schemas.microsoft.com/office/drawing/2014/chart" uri="{C3380CC4-5D6E-409C-BE32-E72D297353CC}">
              <c16:uniqueId val="{00000002-FD85-47DF-AD2A-D300C951A5AF}"/>
            </c:ext>
          </c:extLst>
        </c:ser>
        <c:ser>
          <c:idx val="1"/>
          <c:order val="1"/>
          <c:tx>
            <c:strRef>
              <c:f>'STEP 2 Detailed analysis'!$AQ$8</c:f>
              <c:strCache>
                <c:ptCount val="1"/>
                <c:pt idx="0">
                  <c:v>Suction</c:v>
                </c:pt>
              </c:strCache>
            </c:strRef>
          </c:tx>
          <c:spPr>
            <a:solidFill>
              <a:schemeClr val="accent2"/>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analysis'!$AZ$8,'STEP 2 Detailed analysis'!$BF$8)</c:f>
              <c:numCache>
                <c:formatCode>_-"$"* #,##0_-;\-"$"* #,##0_-;_-"$"* "-"??_-;_-@_-</c:formatCode>
                <c:ptCount val="2"/>
                <c:pt idx="0">
                  <c:v>280.96772257571394</c:v>
                </c:pt>
                <c:pt idx="1">
                  <c:v>280.96772257571394</c:v>
                </c:pt>
              </c:numCache>
            </c:numRef>
          </c:val>
          <c:extLst>
            <c:ext xmlns:c16="http://schemas.microsoft.com/office/drawing/2014/chart" uri="{C3380CC4-5D6E-409C-BE32-E72D297353CC}">
              <c16:uniqueId val="{00000005-FD85-47DF-AD2A-D300C951A5AF}"/>
            </c:ext>
          </c:extLst>
        </c:ser>
        <c:ser>
          <c:idx val="2"/>
          <c:order val="2"/>
          <c:tx>
            <c:strRef>
              <c:f>'STEP 2 Detailed analysis'!$AQ$9</c:f>
              <c:strCache>
                <c:ptCount val="1"/>
                <c:pt idx="0">
                  <c:v>Main line</c:v>
                </c:pt>
              </c:strCache>
            </c:strRef>
          </c:tx>
          <c:spPr>
            <a:solidFill>
              <a:schemeClr val="accent3"/>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analysis'!$AZ$9,'STEP 2 Detailed analysis'!$BF$9)</c:f>
              <c:numCache>
                <c:formatCode>_-"$"* #,##0_-;\-"$"* #,##0_-;_-"$"* "-"??_-;_-@_-</c:formatCode>
                <c:ptCount val="2"/>
                <c:pt idx="0">
                  <c:v>1440.239680322358</c:v>
                </c:pt>
                <c:pt idx="1">
                  <c:v>1115.7003489303538</c:v>
                </c:pt>
              </c:numCache>
            </c:numRef>
          </c:val>
          <c:extLst>
            <c:ext xmlns:c16="http://schemas.microsoft.com/office/drawing/2014/chart" uri="{C3380CC4-5D6E-409C-BE32-E72D297353CC}">
              <c16:uniqueId val="{00000008-FD85-47DF-AD2A-D300C951A5AF}"/>
            </c:ext>
          </c:extLst>
        </c:ser>
        <c:ser>
          <c:idx val="3"/>
          <c:order val="3"/>
          <c:tx>
            <c:strRef>
              <c:f>'STEP 2 Detailed analysis'!$AQ$10</c:f>
              <c:strCache>
                <c:ptCount val="1"/>
                <c:pt idx="0">
                  <c:v>Pivot boom</c:v>
                </c:pt>
              </c:strCache>
            </c:strRef>
          </c:tx>
          <c:spPr>
            <a:solidFill>
              <a:schemeClr val="accent4"/>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analysis'!$AZ$10,'STEP 2 Detailed analysis'!$BF$10)</c:f>
              <c:numCache>
                <c:formatCode>_-"$"* #,##0_-;\-"$"* #,##0_-;_-"$"* "-"??_-;_-@_-</c:formatCode>
                <c:ptCount val="2"/>
                <c:pt idx="0">
                  <c:v>2542.4050566555811</c:v>
                </c:pt>
                <c:pt idx="1">
                  <c:v>1645.1455786656009</c:v>
                </c:pt>
              </c:numCache>
            </c:numRef>
          </c:val>
          <c:extLst>
            <c:ext xmlns:c16="http://schemas.microsoft.com/office/drawing/2014/chart" uri="{C3380CC4-5D6E-409C-BE32-E72D297353CC}">
              <c16:uniqueId val="{0000000B-FD85-47DF-AD2A-D300C951A5AF}"/>
            </c:ext>
          </c:extLst>
        </c:ser>
        <c:ser>
          <c:idx val="4"/>
          <c:order val="4"/>
          <c:tx>
            <c:strRef>
              <c:f>'STEP 2 Detailed analysis'!$AQ$11</c:f>
              <c:strCache>
                <c:ptCount val="1"/>
                <c:pt idx="0">
                  <c:v>Residual pressure</c:v>
                </c:pt>
              </c:strCache>
            </c:strRef>
          </c:tx>
          <c:spPr>
            <a:solidFill>
              <a:schemeClr val="accent5"/>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analysis'!$AZ$11,'STEP 2 Detailed analysis'!$BF$11)</c:f>
              <c:numCache>
                <c:formatCode>_-"$"* #,##0_-;\-"$"* #,##0_-;_-"$"* "-"??_-;_-@_-</c:formatCode>
                <c:ptCount val="2"/>
                <c:pt idx="0">
                  <c:v>2963.8566405191527</c:v>
                </c:pt>
                <c:pt idx="1">
                  <c:v>2963.8566405191523</c:v>
                </c:pt>
              </c:numCache>
            </c:numRef>
          </c:val>
          <c:extLst>
            <c:ext xmlns:c16="http://schemas.microsoft.com/office/drawing/2014/chart" uri="{C3380CC4-5D6E-409C-BE32-E72D297353CC}">
              <c16:uniqueId val="{0000000E-FD85-47DF-AD2A-D300C951A5AF}"/>
            </c:ext>
          </c:extLst>
        </c:ser>
        <c:ser>
          <c:idx val="5"/>
          <c:order val="5"/>
          <c:tx>
            <c:strRef>
              <c:f>'STEP 2 Detailed analysis'!$AQ$16</c:f>
              <c:strCache>
                <c:ptCount val="1"/>
                <c:pt idx="0">
                  <c:v>Towers</c:v>
                </c:pt>
              </c:strCache>
            </c:strRef>
          </c:tx>
          <c:spPr>
            <a:solidFill>
              <a:schemeClr val="accent6"/>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analysis'!$AZ$16,'STEP 2 Detailed analysis'!$BF$16)</c:f>
              <c:numCache>
                <c:formatCode>_-"$"* #,##0_-;\-"$"* #,##0_-;_-"$"* "-"??_-;_-@_-</c:formatCode>
                <c:ptCount val="2"/>
                <c:pt idx="0">
                  <c:v>355.06781820386766</c:v>
                </c:pt>
                <c:pt idx="1">
                  <c:v>355.06781820386766</c:v>
                </c:pt>
              </c:numCache>
            </c:numRef>
          </c:val>
          <c:extLst>
            <c:ext xmlns:c16="http://schemas.microsoft.com/office/drawing/2014/chart" uri="{C3380CC4-5D6E-409C-BE32-E72D297353CC}">
              <c16:uniqueId val="{00000011-FD85-47DF-AD2A-D300C951A5AF}"/>
            </c:ext>
          </c:extLst>
        </c:ser>
        <c:ser>
          <c:idx val="6"/>
          <c:order val="6"/>
          <c:tx>
            <c:strRef>
              <c:f>'STEP 2 Detailed analysis'!$AQ$17</c:f>
              <c:strCache>
                <c:ptCount val="1"/>
                <c:pt idx="0">
                  <c:v>Booster pump</c:v>
                </c:pt>
              </c:strCache>
            </c:strRef>
          </c:tx>
          <c:spPr>
            <a:solidFill>
              <a:schemeClr val="accent1">
                <a:lumMod val="60000"/>
              </a:schemeClr>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analysis'!$AZ$17,'STEP 2 Detailed analysis'!$BF$17)</c:f>
              <c:numCache>
                <c:formatCode>_-"$"* #,##0_-;\-"$"* #,##0_-;_-"$"* "-"??_-;_-@_-</c:formatCode>
                <c:ptCount val="2"/>
                <c:pt idx="0">
                  <c:v>0</c:v>
                </c:pt>
                <c:pt idx="1">
                  <c:v>0</c:v>
                </c:pt>
              </c:numCache>
            </c:numRef>
          </c:val>
          <c:extLst>
            <c:ext xmlns:c16="http://schemas.microsoft.com/office/drawing/2014/chart" uri="{C3380CC4-5D6E-409C-BE32-E72D297353CC}">
              <c16:uniqueId val="{00000013-FD85-47DF-AD2A-D300C951A5AF}"/>
            </c:ext>
          </c:extLst>
        </c:ser>
        <c:ser>
          <c:idx val="7"/>
          <c:order val="7"/>
          <c:tx>
            <c:strRef>
              <c:f>'STEP 2 Detailed analysis'!$AQ$12</c:f>
              <c:strCache>
                <c:ptCount val="1"/>
                <c:pt idx="0">
                  <c:v>Pump inefficiency</c:v>
                </c:pt>
              </c:strCache>
            </c:strRef>
          </c:tx>
          <c:spPr>
            <a:solidFill>
              <a:schemeClr val="accent2">
                <a:lumMod val="60000"/>
              </a:schemeClr>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analysis'!$AZ$12,'STEP 2 Detailed analysis'!$BF$12)</c:f>
              <c:numCache>
                <c:formatCode>_-"$"* #,##0_-;\-"$"* #,##0_-;_-"$"* "-"??_-;_-@_-</c:formatCode>
                <c:ptCount val="2"/>
                <c:pt idx="0">
                  <c:v>3285.4290957513435</c:v>
                </c:pt>
                <c:pt idx="1">
                  <c:v>2271.1602727102577</c:v>
                </c:pt>
              </c:numCache>
            </c:numRef>
          </c:val>
          <c:extLst>
            <c:ext xmlns:c16="http://schemas.microsoft.com/office/drawing/2014/chart" uri="{C3380CC4-5D6E-409C-BE32-E72D297353CC}">
              <c16:uniqueId val="{00000015-FD85-47DF-AD2A-D300C951A5AF}"/>
            </c:ext>
          </c:extLst>
        </c:ser>
        <c:ser>
          <c:idx val="8"/>
          <c:order val="8"/>
          <c:tx>
            <c:strRef>
              <c:f>'STEP 2 Detailed analysis'!$AQ$13</c:f>
              <c:strCache>
                <c:ptCount val="1"/>
                <c:pt idx="0">
                  <c:v>Drive inefficiency</c:v>
                </c:pt>
              </c:strCache>
            </c:strRef>
          </c:tx>
          <c:spPr>
            <a:solidFill>
              <a:schemeClr val="accent3">
                <a:lumMod val="60000"/>
              </a:schemeClr>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analysis'!$AZ$13,'STEP 2 Detailed analysis'!$BF$13)</c:f>
              <c:numCache>
                <c:formatCode>_-"$"* #,##0_-;\-"$"* #,##0_-;_-"$"* "-"??_-;_-@_-</c:formatCode>
                <c:ptCount val="2"/>
                <c:pt idx="0">
                  <c:v>0</c:v>
                </c:pt>
                <c:pt idx="1">
                  <c:v>0</c:v>
                </c:pt>
              </c:numCache>
            </c:numRef>
          </c:val>
          <c:extLst>
            <c:ext xmlns:c16="http://schemas.microsoft.com/office/drawing/2014/chart" uri="{C3380CC4-5D6E-409C-BE32-E72D297353CC}">
              <c16:uniqueId val="{00000016-FD85-47DF-AD2A-D300C951A5AF}"/>
            </c:ext>
          </c:extLst>
        </c:ser>
        <c:ser>
          <c:idx val="9"/>
          <c:order val="9"/>
          <c:tx>
            <c:strRef>
              <c:f>'STEP 2 Detailed analysis'!$AQ$14</c:f>
              <c:strCache>
                <c:ptCount val="1"/>
                <c:pt idx="0">
                  <c:v>Motor inefficiency</c:v>
                </c:pt>
              </c:strCache>
            </c:strRef>
          </c:tx>
          <c:spPr>
            <a:solidFill>
              <a:schemeClr val="accent4">
                <a:lumMod val="60000"/>
              </a:schemeClr>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analysis'!$AZ$14,'STEP 2 Detailed analysis'!$BF$14)</c:f>
              <c:numCache>
                <c:formatCode>_-"$"* #,##0_-;\-"$"* #,##0_-;_-"$"* "-"??_-;_-@_-</c:formatCode>
                <c:ptCount val="2"/>
                <c:pt idx="0">
                  <c:v>714.63764245600873</c:v>
                </c:pt>
                <c:pt idx="1">
                  <c:v>706.36289080651818</c:v>
                </c:pt>
              </c:numCache>
            </c:numRef>
          </c:val>
          <c:extLst>
            <c:ext xmlns:c16="http://schemas.microsoft.com/office/drawing/2014/chart" uri="{C3380CC4-5D6E-409C-BE32-E72D297353CC}">
              <c16:uniqueId val="{00000017-FD85-47DF-AD2A-D300C951A5AF}"/>
            </c:ext>
          </c:extLst>
        </c:ser>
        <c:ser>
          <c:idx val="10"/>
          <c:order val="10"/>
          <c:tx>
            <c:strRef>
              <c:f>'STEP 2 Detailed analysis'!$BD$25</c:f>
              <c:strCache>
                <c:ptCount val="1"/>
                <c:pt idx="0">
                  <c:v>Saving</c:v>
                </c:pt>
              </c:strCache>
            </c:strRef>
          </c:tx>
          <c:spPr>
            <a:solidFill>
              <a:srgbClr val="D8BEEC"/>
            </a:solidFill>
            <a:ln w="19050">
              <a:noFill/>
            </a:ln>
            <a:effectLst/>
          </c:spPr>
          <c:invertIfNegative val="0"/>
          <c:dLbls>
            <c:dLbl>
              <c:idx val="1"/>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4BCA-4184-9360-5CC280614D4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c:separator>
            <c:showLeaderLines val="0"/>
            <c:extLst>
              <c:ext xmlns:c15="http://schemas.microsoft.com/office/drawing/2012/chart" uri="{CE6537A1-D6FC-4f65-9D91-7224C49458BB}">
                <c15:showLeaderLines val="0"/>
              </c:ext>
            </c:extLst>
          </c:dLbls>
          <c:val>
            <c:numRef>
              <c:f>('STEP 2 Detailed analysis'!$A$5,'STEP 2 Detailed analysis'!$BG$15)</c:f>
              <c:numCache>
                <c:formatCode>_("$"* #,##0.00_);_("$"* \(#,##0.00\);_("$"* "-"??_);_(@_)</c:formatCode>
                <c:ptCount val="2"/>
                <c:pt idx="1">
                  <c:v>2244.3420000000001</c:v>
                </c:pt>
              </c:numCache>
            </c:numRef>
          </c:val>
          <c:extLst>
            <c:ext xmlns:c16="http://schemas.microsoft.com/office/drawing/2014/chart" uri="{C3380CC4-5D6E-409C-BE32-E72D297353CC}">
              <c16:uniqueId val="{00000018-FD85-47DF-AD2A-D300C951A5AF}"/>
            </c:ext>
          </c:extLst>
        </c:ser>
        <c:dLbls>
          <c:showLegendKey val="0"/>
          <c:showVal val="0"/>
          <c:showCatName val="0"/>
          <c:showSerName val="0"/>
          <c:showPercent val="0"/>
          <c:showBubbleSize val="0"/>
        </c:dLbls>
        <c:gapWidth val="55"/>
        <c:overlap val="100"/>
        <c:axId val="854830768"/>
        <c:axId val="854835032"/>
      </c:barChart>
      <c:catAx>
        <c:axId val="85483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835032"/>
        <c:crosses val="autoZero"/>
        <c:auto val="1"/>
        <c:lblAlgn val="ctr"/>
        <c:lblOffset val="100"/>
        <c:noMultiLvlLbl val="0"/>
      </c:catAx>
      <c:valAx>
        <c:axId val="8548350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830768"/>
        <c:crosses val="autoZero"/>
        <c:crossBetween val="between"/>
      </c:valAx>
      <c:spPr>
        <a:noFill/>
        <a:ln>
          <a:noFill/>
        </a:ln>
        <a:effectLst/>
      </c:spPr>
    </c:plotArea>
    <c:legend>
      <c:legendPos val="r"/>
      <c:layout>
        <c:manualLayout>
          <c:xMode val="edge"/>
          <c:yMode val="edge"/>
          <c:x val="0.54764419691441013"/>
          <c:y val="0.25083636068670223"/>
          <c:w val="0.43893284680878303"/>
          <c:h val="0.56793728598494719"/>
        </c:manualLayout>
      </c:layout>
      <c:overlay val="0"/>
      <c:spPr>
        <a:noFill/>
        <a:ln>
          <a:noFill/>
        </a:ln>
        <a:effectLst/>
      </c:spPr>
      <c:txPr>
        <a:bodyPr rot="0" spcFirstLastPara="1" vertOverflow="ellipsis" vert="horz" wrap="square" anchor="ctr" anchorCtr="1"/>
        <a:lstStyle/>
        <a:p>
          <a:pPr>
            <a:defRPr sz="1000" b="0" i="0" u="none" strike="noStrike" kern="1000" spc="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12015715016748E-2"/>
          <c:y val="7.5236022632849286E-2"/>
          <c:w val="0.82184397163120571"/>
          <c:h val="0.86292834890965731"/>
        </c:manualLayout>
      </c:layout>
      <c:scatterChart>
        <c:scatterStyle val="smoothMarker"/>
        <c:varyColors val="0"/>
        <c:ser>
          <c:idx val="0"/>
          <c:order val="0"/>
          <c:spPr>
            <a:ln w="38100" cap="rnd">
              <a:solidFill>
                <a:srgbClr val="00B0F0"/>
              </a:solidFill>
              <a:prstDash val="sysDash"/>
              <a:round/>
            </a:ln>
            <a:effectLst/>
          </c:spPr>
          <c:marker>
            <c:symbol val="none"/>
          </c:marker>
          <c:dLbls>
            <c:dLbl>
              <c:idx val="0"/>
              <c:layout>
                <c:manualLayout>
                  <c:x val="3.7453040704022666E-2"/>
                  <c:y val="-7.3701899536892559E-2"/>
                </c:manualLayout>
              </c:layout>
              <c:tx>
                <c:rich>
                  <a:bodyPr rot="0" spcFirstLastPara="1" vertOverflow="ellipsis" vert="horz" wrap="square" lIns="38100" tIns="19050" rIns="38100" bIns="19050" anchor="ctr" anchorCtr="0">
                    <a:spAutoFit/>
                  </a:bodyPr>
                  <a:lstStyle/>
                  <a:p>
                    <a:pPr algn="l">
                      <a:defRPr sz="900" b="1" i="0" u="none" strike="noStrike" kern="1200" baseline="0">
                        <a:solidFill>
                          <a:schemeClr val="tx1">
                            <a:lumMod val="75000"/>
                            <a:lumOff val="25000"/>
                          </a:schemeClr>
                        </a:solidFill>
                        <a:latin typeface="+mn-lt"/>
                        <a:ea typeface="+mn-ea"/>
                        <a:cs typeface="+mn-cs"/>
                      </a:defRPr>
                    </a:pPr>
                    <a:fld id="{D425114F-1064-4F62-819B-1AE7F7CF4F18}" type="CELLRANGE">
                      <a:rPr lang="en-US"/>
                      <a:pPr algn="l">
                        <a:defRPr b="1"/>
                      </a:pPr>
                      <a:t>[CELLRANGE]</a:t>
                    </a:fld>
                    <a:endParaRPr lang="en-AU"/>
                  </a:p>
                </c:rich>
              </c:tx>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29899495709103779"/>
                      <c:h val="0.1673030685979067"/>
                    </c:manualLayout>
                  </c15:layout>
                  <c15:dlblFieldTable/>
                  <c15:showDataLabelsRange val="1"/>
                </c:ext>
                <c:ext xmlns:c16="http://schemas.microsoft.com/office/drawing/2014/chart" uri="{C3380CC4-5D6E-409C-BE32-E72D297353CC}">
                  <c16:uniqueId val="{00000000-90BF-4E75-A4C9-4F6C106F209B}"/>
                </c:ext>
              </c:extLst>
            </c:dLbl>
            <c:dLbl>
              <c:idx val="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0BF-4E75-A4C9-4F6C106F209B}"/>
                </c:ext>
              </c:extLst>
            </c:dLbl>
            <c:dLbl>
              <c:idx val="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0BF-4E75-A4C9-4F6C106F209B}"/>
                </c:ext>
              </c:extLst>
            </c:dLbl>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19050" cap="flat" cmpd="sng" algn="ctr">
                      <a:solidFill>
                        <a:srgbClr val="000000"/>
                      </a:solidFill>
                      <a:round/>
                    </a:ln>
                    <a:effectLst/>
                  </c:spPr>
                </c15:leaderLines>
              </c:ext>
            </c:extLst>
          </c:dLbls>
          <c:trendline>
            <c:spPr>
              <a:ln w="19050" cap="rnd">
                <a:solidFill>
                  <a:schemeClr val="accent1"/>
                </a:solidFill>
                <a:prstDash val="sysDot"/>
              </a:ln>
              <a:effectLst/>
            </c:spPr>
            <c:trendlineType val="log"/>
            <c:dispRSqr val="0"/>
            <c:dispEq val="0"/>
          </c:trendline>
          <c:trendline>
            <c:spPr>
              <a:ln w="19050" cap="rnd">
                <a:solidFill>
                  <a:schemeClr val="accent1"/>
                </a:solidFill>
                <a:prstDash val="sysDot"/>
              </a:ln>
              <a:effectLst/>
            </c:spPr>
            <c:trendlineType val="power"/>
            <c:dispRSqr val="0"/>
            <c:dispEq val="0"/>
          </c:trendline>
          <c:xVal>
            <c:numRef>
              <c:f>'Endgun models'!$I$35:$I$37</c:f>
              <c:numCache>
                <c:formatCode>General</c:formatCode>
                <c:ptCount val="3"/>
                <c:pt idx="0" formatCode="0.0">
                  <c:v>12.2</c:v>
                </c:pt>
                <c:pt idx="1">
                  <c:v>6.1</c:v>
                </c:pt>
                <c:pt idx="2">
                  <c:v>0</c:v>
                </c:pt>
              </c:numCache>
            </c:numRef>
          </c:xVal>
          <c:yVal>
            <c:numRef>
              <c:f>'Endgun models'!$J$35:$J$37</c:f>
              <c:numCache>
                <c:formatCode>General</c:formatCode>
                <c:ptCount val="3"/>
                <c:pt idx="0">
                  <c:v>1</c:v>
                </c:pt>
                <c:pt idx="1">
                  <c:v>12</c:v>
                </c:pt>
                <c:pt idx="2">
                  <c:v>10</c:v>
                </c:pt>
              </c:numCache>
            </c:numRef>
          </c:yVal>
          <c:smooth val="1"/>
          <c:extLst>
            <c:ext xmlns:c15="http://schemas.microsoft.com/office/drawing/2012/chart" uri="{02D57815-91ED-43cb-92C2-25804820EDAC}">
              <c15:datalabelsRange>
                <c15:f>'Endgun models'!$L$35</c15:f>
                <c15:dlblRangeCache>
                  <c:ptCount val="1"/>
                  <c:pt idx="0">
                    <c:v>12.2 m</c:v>
                  </c:pt>
                </c15:dlblRangeCache>
              </c15:datalabelsRange>
            </c:ext>
            <c:ext xmlns:c16="http://schemas.microsoft.com/office/drawing/2014/chart" uri="{C3380CC4-5D6E-409C-BE32-E72D297353CC}">
              <c16:uniqueId val="{00000005-90BF-4E75-A4C9-4F6C106F209B}"/>
            </c:ext>
          </c:extLst>
        </c:ser>
        <c:ser>
          <c:idx val="1"/>
          <c:order val="1"/>
          <c:spPr>
            <a:ln w="38100" cap="rnd">
              <a:solidFill>
                <a:srgbClr val="00B0F0"/>
              </a:solidFill>
              <a:prstDash val="sysDash"/>
              <a:round/>
            </a:ln>
            <a:effectLst/>
          </c:spPr>
          <c:marker>
            <c:symbol val="none"/>
          </c:marker>
          <c:xVal>
            <c:numRef>
              <c:f>'Endgun models'!$I$38:$I$40</c:f>
              <c:numCache>
                <c:formatCode>General</c:formatCode>
                <c:ptCount val="3"/>
                <c:pt idx="0">
                  <c:v>9.76</c:v>
                </c:pt>
                <c:pt idx="1">
                  <c:v>4.88</c:v>
                </c:pt>
                <c:pt idx="2">
                  <c:v>0</c:v>
                </c:pt>
              </c:numCache>
            </c:numRef>
          </c:xVal>
          <c:yVal>
            <c:numRef>
              <c:f>'Endgun models'!$J$38:$J$40</c:f>
              <c:numCache>
                <c:formatCode>General</c:formatCode>
                <c:ptCount val="3"/>
                <c:pt idx="0">
                  <c:v>1</c:v>
                </c:pt>
                <c:pt idx="1">
                  <c:v>11.8</c:v>
                </c:pt>
                <c:pt idx="2">
                  <c:v>10</c:v>
                </c:pt>
              </c:numCache>
            </c:numRef>
          </c:yVal>
          <c:smooth val="1"/>
          <c:extLst>
            <c:ext xmlns:c16="http://schemas.microsoft.com/office/drawing/2014/chart" uri="{C3380CC4-5D6E-409C-BE32-E72D297353CC}">
              <c16:uniqueId val="{00000006-90BF-4E75-A4C9-4F6C106F209B}"/>
            </c:ext>
          </c:extLst>
        </c:ser>
        <c:ser>
          <c:idx val="2"/>
          <c:order val="2"/>
          <c:spPr>
            <a:ln w="38100" cap="rnd">
              <a:solidFill>
                <a:srgbClr val="00B0F0"/>
              </a:solidFill>
              <a:prstDash val="sysDash"/>
              <a:round/>
            </a:ln>
            <a:effectLst/>
          </c:spPr>
          <c:marker>
            <c:symbol val="none"/>
          </c:marker>
          <c:xVal>
            <c:numRef>
              <c:f>'Endgun models'!$I$41:$I$43</c:f>
              <c:numCache>
                <c:formatCode>General</c:formatCode>
                <c:ptCount val="3"/>
                <c:pt idx="0">
                  <c:v>6.9714285714285706</c:v>
                </c:pt>
                <c:pt idx="1">
                  <c:v>3.4857142857142853</c:v>
                </c:pt>
                <c:pt idx="2">
                  <c:v>0</c:v>
                </c:pt>
              </c:numCache>
            </c:numRef>
          </c:xVal>
          <c:yVal>
            <c:numRef>
              <c:f>'Endgun models'!$J$41:$J$43</c:f>
              <c:numCache>
                <c:formatCode>General</c:formatCode>
                <c:ptCount val="3"/>
                <c:pt idx="0">
                  <c:v>1</c:v>
                </c:pt>
                <c:pt idx="1">
                  <c:v>11.600000000000001</c:v>
                </c:pt>
                <c:pt idx="2">
                  <c:v>10</c:v>
                </c:pt>
              </c:numCache>
            </c:numRef>
          </c:yVal>
          <c:smooth val="1"/>
          <c:extLst>
            <c:ext xmlns:c16="http://schemas.microsoft.com/office/drawing/2014/chart" uri="{C3380CC4-5D6E-409C-BE32-E72D297353CC}">
              <c16:uniqueId val="{00000007-90BF-4E75-A4C9-4F6C106F209B}"/>
            </c:ext>
          </c:extLst>
        </c:ser>
        <c:ser>
          <c:idx val="3"/>
          <c:order val="3"/>
          <c:spPr>
            <a:ln w="38100" cap="rnd">
              <a:solidFill>
                <a:srgbClr val="00B0F0"/>
              </a:solidFill>
              <a:prstDash val="sysDash"/>
              <a:round/>
            </a:ln>
            <a:effectLst/>
          </c:spPr>
          <c:marker>
            <c:symbol val="none"/>
          </c:marker>
          <c:xVal>
            <c:numRef>
              <c:f>'Endgun models'!$I$44:$I$46</c:f>
              <c:numCache>
                <c:formatCode>General</c:formatCode>
                <c:ptCount val="3"/>
                <c:pt idx="0">
                  <c:v>4.88</c:v>
                </c:pt>
                <c:pt idx="1">
                  <c:v>2.44</c:v>
                </c:pt>
                <c:pt idx="2">
                  <c:v>0</c:v>
                </c:pt>
              </c:numCache>
            </c:numRef>
          </c:xVal>
          <c:yVal>
            <c:numRef>
              <c:f>'Endgun models'!$J$44:$J$46</c:f>
              <c:numCache>
                <c:formatCode>General</c:formatCode>
                <c:ptCount val="3"/>
                <c:pt idx="0">
                  <c:v>1</c:v>
                </c:pt>
                <c:pt idx="1">
                  <c:v>11.400000000000002</c:v>
                </c:pt>
                <c:pt idx="2">
                  <c:v>10</c:v>
                </c:pt>
              </c:numCache>
            </c:numRef>
          </c:yVal>
          <c:smooth val="1"/>
          <c:extLst>
            <c:ext xmlns:c16="http://schemas.microsoft.com/office/drawing/2014/chart" uri="{C3380CC4-5D6E-409C-BE32-E72D297353CC}">
              <c16:uniqueId val="{00000008-90BF-4E75-A4C9-4F6C106F209B}"/>
            </c:ext>
          </c:extLst>
        </c:ser>
        <c:ser>
          <c:idx val="4"/>
          <c:order val="4"/>
          <c:spPr>
            <a:ln w="38100" cap="rnd">
              <a:solidFill>
                <a:srgbClr val="00B0F0"/>
              </a:solidFill>
              <a:prstDash val="sysDash"/>
              <a:round/>
            </a:ln>
            <a:effectLst/>
          </c:spPr>
          <c:marker>
            <c:symbol val="none"/>
          </c:marker>
          <c:xVal>
            <c:numRef>
              <c:f>'Endgun models'!$I$47:$I$49</c:f>
              <c:numCache>
                <c:formatCode>General</c:formatCode>
                <c:ptCount val="3"/>
                <c:pt idx="0">
                  <c:v>3.05</c:v>
                </c:pt>
                <c:pt idx="1">
                  <c:v>1.5249999999999999</c:v>
                </c:pt>
                <c:pt idx="2">
                  <c:v>0</c:v>
                </c:pt>
              </c:numCache>
            </c:numRef>
          </c:xVal>
          <c:yVal>
            <c:numRef>
              <c:f>'Endgun models'!$J$47:$J$49</c:f>
              <c:numCache>
                <c:formatCode>General</c:formatCode>
                <c:ptCount val="3"/>
                <c:pt idx="0">
                  <c:v>1</c:v>
                </c:pt>
                <c:pt idx="1">
                  <c:v>11.200000000000003</c:v>
                </c:pt>
                <c:pt idx="2">
                  <c:v>10</c:v>
                </c:pt>
              </c:numCache>
            </c:numRef>
          </c:yVal>
          <c:smooth val="1"/>
          <c:extLst>
            <c:ext xmlns:c16="http://schemas.microsoft.com/office/drawing/2014/chart" uri="{C3380CC4-5D6E-409C-BE32-E72D297353CC}">
              <c16:uniqueId val="{00000009-90BF-4E75-A4C9-4F6C106F209B}"/>
            </c:ext>
          </c:extLst>
        </c:ser>
        <c:ser>
          <c:idx val="5"/>
          <c:order val="5"/>
          <c:spPr>
            <a:ln w="19050" cap="rnd">
              <a:solidFill>
                <a:srgbClr val="00B0F0"/>
              </a:solidFill>
              <a:prstDash val="sysDash"/>
              <a:round/>
            </a:ln>
            <a:effectLst/>
          </c:spPr>
          <c:marker>
            <c:symbol val="none"/>
          </c:marker>
          <c:dPt>
            <c:idx val="0"/>
            <c:marker>
              <c:symbol val="none"/>
            </c:marker>
            <c:bubble3D val="0"/>
            <c:spPr>
              <a:ln w="38100" cap="rnd">
                <a:solidFill>
                  <a:srgbClr val="00B0F0"/>
                </a:solidFill>
                <a:prstDash val="sysDash"/>
                <a:round/>
              </a:ln>
              <a:effectLst/>
            </c:spPr>
            <c:extLst>
              <c:ext xmlns:c16="http://schemas.microsoft.com/office/drawing/2014/chart" uri="{C3380CC4-5D6E-409C-BE32-E72D297353CC}">
                <c16:uniqueId val="{0000000B-90BF-4E75-A4C9-4F6C106F209B}"/>
              </c:ext>
            </c:extLst>
          </c:dPt>
          <c:dPt>
            <c:idx val="1"/>
            <c:marker>
              <c:symbol val="none"/>
            </c:marker>
            <c:bubble3D val="0"/>
            <c:spPr>
              <a:ln w="38100" cap="rnd">
                <a:solidFill>
                  <a:srgbClr val="00B0F0"/>
                </a:solidFill>
                <a:prstDash val="sysDash"/>
                <a:round/>
              </a:ln>
              <a:effectLst/>
            </c:spPr>
            <c:extLst>
              <c:ext xmlns:c16="http://schemas.microsoft.com/office/drawing/2014/chart" uri="{C3380CC4-5D6E-409C-BE32-E72D297353CC}">
                <c16:uniqueId val="{0000000D-90BF-4E75-A4C9-4F6C106F209B}"/>
              </c:ext>
            </c:extLst>
          </c:dPt>
          <c:xVal>
            <c:numRef>
              <c:f>'Endgun models'!$I$50:$I$52</c:f>
              <c:numCache>
                <c:formatCode>General</c:formatCode>
                <c:ptCount val="3"/>
                <c:pt idx="0">
                  <c:v>2.0333333333333332</c:v>
                </c:pt>
                <c:pt idx="1">
                  <c:v>1.0166666666666666</c:v>
                </c:pt>
                <c:pt idx="2">
                  <c:v>0</c:v>
                </c:pt>
              </c:numCache>
            </c:numRef>
          </c:xVal>
          <c:yVal>
            <c:numRef>
              <c:f>'Endgun models'!$J$50:$J$52</c:f>
              <c:numCache>
                <c:formatCode>General</c:formatCode>
                <c:ptCount val="3"/>
                <c:pt idx="0">
                  <c:v>1</c:v>
                </c:pt>
                <c:pt idx="1">
                  <c:v>11.000000000000004</c:v>
                </c:pt>
                <c:pt idx="2">
                  <c:v>10</c:v>
                </c:pt>
              </c:numCache>
            </c:numRef>
          </c:yVal>
          <c:smooth val="1"/>
          <c:extLst>
            <c:ext xmlns:c16="http://schemas.microsoft.com/office/drawing/2014/chart" uri="{C3380CC4-5D6E-409C-BE32-E72D297353CC}">
              <c16:uniqueId val="{0000000E-90BF-4E75-A4C9-4F6C106F209B}"/>
            </c:ext>
          </c:extLst>
        </c:ser>
        <c:dLbls>
          <c:showLegendKey val="0"/>
          <c:showVal val="0"/>
          <c:showCatName val="0"/>
          <c:showSerName val="0"/>
          <c:showPercent val="0"/>
          <c:showBubbleSize val="0"/>
        </c:dLbls>
        <c:axId val="367319440"/>
        <c:axId val="367318128"/>
      </c:scatterChart>
      <c:valAx>
        <c:axId val="367319440"/>
        <c:scaling>
          <c:orientation val="minMax"/>
          <c:max val="70"/>
          <c:min val="0.1"/>
        </c:scaling>
        <c:delete val="0"/>
        <c:axPos val="b"/>
        <c:numFmt formatCode="0" sourceLinked="0"/>
        <c:majorTickMark val="out"/>
        <c:minorTickMark val="none"/>
        <c:tickLblPos val="nextTo"/>
        <c:spPr>
          <a:noFill/>
          <a:ln w="19050" cap="flat" cmpd="sng" algn="ctr">
            <a:solidFill>
              <a:sysClr val="windowText" lastClr="000000"/>
            </a:solidFill>
            <a:prstDash val="solid"/>
            <a:miter lim="800000"/>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7318128"/>
        <c:crosses val="autoZero"/>
        <c:crossBetween val="midCat"/>
        <c:majorUnit val="10"/>
        <c:minorUnit val="1"/>
      </c:valAx>
      <c:valAx>
        <c:axId val="367318128"/>
        <c:scaling>
          <c:orientation val="minMax"/>
          <c:min val="0"/>
        </c:scaling>
        <c:delete val="1"/>
        <c:axPos val="l"/>
        <c:numFmt formatCode="General" sourceLinked="1"/>
        <c:majorTickMark val="out"/>
        <c:minorTickMark val="none"/>
        <c:tickLblPos val="nextTo"/>
        <c:crossAx val="3673194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AU" sz="1200" b="0" i="0" baseline="0">
                <a:effectLst/>
              </a:rPr>
              <a:t>Breakdown of pumping costs -  $/year </a:t>
            </a:r>
            <a:endParaRPr lang="en-AU"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60561864991616"/>
          <c:y val="0.14909188977116916"/>
          <c:w val="0.34795434127781"/>
          <c:h val="0.70382430497135595"/>
        </c:manualLayout>
      </c:layout>
      <c:barChart>
        <c:barDir val="col"/>
        <c:grouping val="stacked"/>
        <c:varyColors val="0"/>
        <c:ser>
          <c:idx val="0"/>
          <c:order val="0"/>
          <c:tx>
            <c:strRef>
              <c:f>'STEP 2 Detailed analysis'!$AQ$7</c:f>
              <c:strCache>
                <c:ptCount val="1"/>
                <c:pt idx="0">
                  <c:v>Static head</c:v>
                </c:pt>
              </c:strCache>
            </c:strRef>
          </c:tx>
          <c:spPr>
            <a:solidFill>
              <a:schemeClr val="accent1"/>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analysis'!$AZ$7,'STEP 2 Detailed analysis'!$BF$7)</c:f>
              <c:numCache>
                <c:formatCode>_-"$"* #,##0_-;\-"$"* #,##0_-;_-"$"* "-"??_-;_-@_-</c:formatCode>
                <c:ptCount val="2"/>
                <c:pt idx="0">
                  <c:v>842.90316772714164</c:v>
                </c:pt>
                <c:pt idx="1">
                  <c:v>842.90316772714164</c:v>
                </c:pt>
              </c:numCache>
            </c:numRef>
          </c:val>
          <c:extLst>
            <c:ext xmlns:c16="http://schemas.microsoft.com/office/drawing/2014/chart" uri="{C3380CC4-5D6E-409C-BE32-E72D297353CC}">
              <c16:uniqueId val="{00000000-C541-494F-83B0-8EA42B4F5165}"/>
            </c:ext>
          </c:extLst>
        </c:ser>
        <c:ser>
          <c:idx val="1"/>
          <c:order val="1"/>
          <c:tx>
            <c:strRef>
              <c:f>'STEP 2 Detailed analysis'!$AQ$8</c:f>
              <c:strCache>
                <c:ptCount val="1"/>
                <c:pt idx="0">
                  <c:v>Suction</c:v>
                </c:pt>
              </c:strCache>
            </c:strRef>
          </c:tx>
          <c:spPr>
            <a:solidFill>
              <a:schemeClr val="accent2"/>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analysis'!$AZ$8,'STEP 2 Detailed analysis'!$BF$8)</c:f>
              <c:numCache>
                <c:formatCode>_-"$"* #,##0_-;\-"$"* #,##0_-;_-"$"* "-"??_-;_-@_-</c:formatCode>
                <c:ptCount val="2"/>
                <c:pt idx="0">
                  <c:v>280.96772257571394</c:v>
                </c:pt>
                <c:pt idx="1">
                  <c:v>280.96772257571394</c:v>
                </c:pt>
              </c:numCache>
            </c:numRef>
          </c:val>
          <c:extLst>
            <c:ext xmlns:c16="http://schemas.microsoft.com/office/drawing/2014/chart" uri="{C3380CC4-5D6E-409C-BE32-E72D297353CC}">
              <c16:uniqueId val="{00000001-C541-494F-83B0-8EA42B4F5165}"/>
            </c:ext>
          </c:extLst>
        </c:ser>
        <c:ser>
          <c:idx val="2"/>
          <c:order val="2"/>
          <c:tx>
            <c:strRef>
              <c:f>'STEP 2 Detailed analysis'!$AQ$9</c:f>
              <c:strCache>
                <c:ptCount val="1"/>
                <c:pt idx="0">
                  <c:v>Main line</c:v>
                </c:pt>
              </c:strCache>
            </c:strRef>
          </c:tx>
          <c:spPr>
            <a:solidFill>
              <a:schemeClr val="accent3"/>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analysis'!$AZ$9,'STEP 2 Detailed analysis'!$BF$9)</c:f>
              <c:numCache>
                <c:formatCode>_-"$"* #,##0_-;\-"$"* #,##0_-;_-"$"* "-"??_-;_-@_-</c:formatCode>
                <c:ptCount val="2"/>
                <c:pt idx="0">
                  <c:v>1440.239680322358</c:v>
                </c:pt>
                <c:pt idx="1">
                  <c:v>1115.7003489303538</c:v>
                </c:pt>
              </c:numCache>
            </c:numRef>
          </c:val>
          <c:extLst>
            <c:ext xmlns:c16="http://schemas.microsoft.com/office/drawing/2014/chart" uri="{C3380CC4-5D6E-409C-BE32-E72D297353CC}">
              <c16:uniqueId val="{00000002-C541-494F-83B0-8EA42B4F5165}"/>
            </c:ext>
          </c:extLst>
        </c:ser>
        <c:ser>
          <c:idx val="3"/>
          <c:order val="3"/>
          <c:tx>
            <c:strRef>
              <c:f>'STEP 2 Detailed analysis'!$AQ$10</c:f>
              <c:strCache>
                <c:ptCount val="1"/>
                <c:pt idx="0">
                  <c:v>Pivot boom</c:v>
                </c:pt>
              </c:strCache>
            </c:strRef>
          </c:tx>
          <c:spPr>
            <a:solidFill>
              <a:schemeClr val="accent4"/>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analysis'!$AZ$10,'STEP 2 Detailed analysis'!$BF$10)</c:f>
              <c:numCache>
                <c:formatCode>_-"$"* #,##0_-;\-"$"* #,##0_-;_-"$"* "-"??_-;_-@_-</c:formatCode>
                <c:ptCount val="2"/>
                <c:pt idx="0">
                  <c:v>2542.4050566555811</c:v>
                </c:pt>
                <c:pt idx="1">
                  <c:v>1645.1455786656009</c:v>
                </c:pt>
              </c:numCache>
            </c:numRef>
          </c:val>
          <c:extLst>
            <c:ext xmlns:c16="http://schemas.microsoft.com/office/drawing/2014/chart" uri="{C3380CC4-5D6E-409C-BE32-E72D297353CC}">
              <c16:uniqueId val="{00000003-C541-494F-83B0-8EA42B4F5165}"/>
            </c:ext>
          </c:extLst>
        </c:ser>
        <c:ser>
          <c:idx val="4"/>
          <c:order val="4"/>
          <c:tx>
            <c:strRef>
              <c:f>'STEP 2 Detailed analysis'!$AQ$11</c:f>
              <c:strCache>
                <c:ptCount val="1"/>
                <c:pt idx="0">
                  <c:v>Residual pressure</c:v>
                </c:pt>
              </c:strCache>
            </c:strRef>
          </c:tx>
          <c:spPr>
            <a:solidFill>
              <a:schemeClr val="accent5"/>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analysis'!$AZ$11,'STEP 2 Detailed analysis'!$BF$11)</c:f>
              <c:numCache>
                <c:formatCode>_-"$"* #,##0_-;\-"$"* #,##0_-;_-"$"* "-"??_-;_-@_-</c:formatCode>
                <c:ptCount val="2"/>
                <c:pt idx="0">
                  <c:v>2963.8566405191527</c:v>
                </c:pt>
                <c:pt idx="1">
                  <c:v>2963.8566405191523</c:v>
                </c:pt>
              </c:numCache>
            </c:numRef>
          </c:val>
          <c:extLst>
            <c:ext xmlns:c16="http://schemas.microsoft.com/office/drawing/2014/chart" uri="{C3380CC4-5D6E-409C-BE32-E72D297353CC}">
              <c16:uniqueId val="{00000004-C541-494F-83B0-8EA42B4F5165}"/>
            </c:ext>
          </c:extLst>
        </c:ser>
        <c:ser>
          <c:idx val="5"/>
          <c:order val="5"/>
          <c:tx>
            <c:strRef>
              <c:f>'STEP 2 Detailed analysis'!$AQ$16</c:f>
              <c:strCache>
                <c:ptCount val="1"/>
                <c:pt idx="0">
                  <c:v>Towers</c:v>
                </c:pt>
              </c:strCache>
            </c:strRef>
          </c:tx>
          <c:spPr>
            <a:solidFill>
              <a:schemeClr val="accent6"/>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analysis'!$AZ$16,'STEP 2 Detailed analysis'!$BF$16)</c:f>
              <c:numCache>
                <c:formatCode>_-"$"* #,##0_-;\-"$"* #,##0_-;_-"$"* "-"??_-;_-@_-</c:formatCode>
                <c:ptCount val="2"/>
                <c:pt idx="0">
                  <c:v>355.06781820386766</c:v>
                </c:pt>
                <c:pt idx="1">
                  <c:v>355.06781820386766</c:v>
                </c:pt>
              </c:numCache>
            </c:numRef>
          </c:val>
          <c:extLst>
            <c:ext xmlns:c16="http://schemas.microsoft.com/office/drawing/2014/chart" uri="{C3380CC4-5D6E-409C-BE32-E72D297353CC}">
              <c16:uniqueId val="{00000005-C541-494F-83B0-8EA42B4F5165}"/>
            </c:ext>
          </c:extLst>
        </c:ser>
        <c:ser>
          <c:idx val="6"/>
          <c:order val="6"/>
          <c:tx>
            <c:strRef>
              <c:f>'STEP 2 Detailed analysis'!$AQ$17</c:f>
              <c:strCache>
                <c:ptCount val="1"/>
                <c:pt idx="0">
                  <c:v>Booster pump</c:v>
                </c:pt>
              </c:strCache>
            </c:strRef>
          </c:tx>
          <c:spPr>
            <a:solidFill>
              <a:schemeClr val="accent1">
                <a:lumMod val="60000"/>
              </a:schemeClr>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analysis'!$AZ$17,'STEP 2 Detailed analysis'!$BF$17)</c:f>
              <c:numCache>
                <c:formatCode>_-"$"* #,##0_-;\-"$"* #,##0_-;_-"$"* "-"??_-;_-@_-</c:formatCode>
                <c:ptCount val="2"/>
                <c:pt idx="0">
                  <c:v>0</c:v>
                </c:pt>
                <c:pt idx="1">
                  <c:v>0</c:v>
                </c:pt>
              </c:numCache>
            </c:numRef>
          </c:val>
          <c:extLst>
            <c:ext xmlns:c16="http://schemas.microsoft.com/office/drawing/2014/chart" uri="{C3380CC4-5D6E-409C-BE32-E72D297353CC}">
              <c16:uniqueId val="{00000006-C541-494F-83B0-8EA42B4F5165}"/>
            </c:ext>
          </c:extLst>
        </c:ser>
        <c:ser>
          <c:idx val="7"/>
          <c:order val="7"/>
          <c:tx>
            <c:strRef>
              <c:f>'STEP 2 Detailed analysis'!$AQ$12</c:f>
              <c:strCache>
                <c:ptCount val="1"/>
                <c:pt idx="0">
                  <c:v>Pump inefficiency</c:v>
                </c:pt>
              </c:strCache>
            </c:strRef>
          </c:tx>
          <c:spPr>
            <a:solidFill>
              <a:schemeClr val="accent2">
                <a:lumMod val="60000"/>
              </a:schemeClr>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analysis'!$AZ$12,'STEP 2 Detailed analysis'!$BF$12)</c:f>
              <c:numCache>
                <c:formatCode>_-"$"* #,##0_-;\-"$"* #,##0_-;_-"$"* "-"??_-;_-@_-</c:formatCode>
                <c:ptCount val="2"/>
                <c:pt idx="0">
                  <c:v>3285.4290957513435</c:v>
                </c:pt>
                <c:pt idx="1">
                  <c:v>2271.1602727102577</c:v>
                </c:pt>
              </c:numCache>
            </c:numRef>
          </c:val>
          <c:extLst>
            <c:ext xmlns:c16="http://schemas.microsoft.com/office/drawing/2014/chart" uri="{C3380CC4-5D6E-409C-BE32-E72D297353CC}">
              <c16:uniqueId val="{00000007-C541-494F-83B0-8EA42B4F5165}"/>
            </c:ext>
          </c:extLst>
        </c:ser>
        <c:ser>
          <c:idx val="8"/>
          <c:order val="8"/>
          <c:tx>
            <c:strRef>
              <c:f>'STEP 2 Detailed analysis'!$AQ$13</c:f>
              <c:strCache>
                <c:ptCount val="1"/>
                <c:pt idx="0">
                  <c:v>Drive inefficiency</c:v>
                </c:pt>
              </c:strCache>
            </c:strRef>
          </c:tx>
          <c:spPr>
            <a:solidFill>
              <a:schemeClr val="accent3">
                <a:lumMod val="60000"/>
              </a:schemeClr>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analysis'!$AZ$13,'STEP 2 Detailed analysis'!$BF$13)</c:f>
              <c:numCache>
                <c:formatCode>_-"$"* #,##0_-;\-"$"* #,##0_-;_-"$"* "-"??_-;_-@_-</c:formatCode>
                <c:ptCount val="2"/>
                <c:pt idx="0">
                  <c:v>0</c:v>
                </c:pt>
                <c:pt idx="1">
                  <c:v>0</c:v>
                </c:pt>
              </c:numCache>
            </c:numRef>
          </c:val>
          <c:extLst>
            <c:ext xmlns:c16="http://schemas.microsoft.com/office/drawing/2014/chart" uri="{C3380CC4-5D6E-409C-BE32-E72D297353CC}">
              <c16:uniqueId val="{00000008-C541-494F-83B0-8EA42B4F5165}"/>
            </c:ext>
          </c:extLst>
        </c:ser>
        <c:ser>
          <c:idx val="9"/>
          <c:order val="9"/>
          <c:tx>
            <c:strRef>
              <c:f>'STEP 2 Detailed analysis'!$AQ$14</c:f>
              <c:strCache>
                <c:ptCount val="1"/>
                <c:pt idx="0">
                  <c:v>Motor inefficiency</c:v>
                </c:pt>
              </c:strCache>
            </c:strRef>
          </c:tx>
          <c:spPr>
            <a:solidFill>
              <a:schemeClr val="accent4">
                <a:lumMod val="60000"/>
              </a:schemeClr>
            </a:solidFill>
            <a:ln w="19050">
              <a:noFill/>
            </a:ln>
            <a:effectLst/>
          </c:spPr>
          <c:invertIfNegative val="0"/>
          <c:cat>
            <c:strRef>
              <c:f>('STEP 2 Detailed analysis'!$BD$23,'STEP 2 Detailed analysis'!$BD$24)</c:f>
              <c:strCache>
                <c:ptCount val="2"/>
                <c:pt idx="0">
                  <c:v>Current system</c:v>
                </c:pt>
                <c:pt idx="1">
                  <c:v>Improved system</c:v>
                </c:pt>
              </c:strCache>
            </c:strRef>
          </c:cat>
          <c:val>
            <c:numRef>
              <c:f>('STEP 2 Detailed analysis'!$AZ$14,'STEP 2 Detailed analysis'!$BF$14)</c:f>
              <c:numCache>
                <c:formatCode>_-"$"* #,##0_-;\-"$"* #,##0_-;_-"$"* "-"??_-;_-@_-</c:formatCode>
                <c:ptCount val="2"/>
                <c:pt idx="0">
                  <c:v>714.63764245600873</c:v>
                </c:pt>
                <c:pt idx="1">
                  <c:v>706.36289080651818</c:v>
                </c:pt>
              </c:numCache>
            </c:numRef>
          </c:val>
          <c:extLst>
            <c:ext xmlns:c16="http://schemas.microsoft.com/office/drawing/2014/chart" uri="{C3380CC4-5D6E-409C-BE32-E72D297353CC}">
              <c16:uniqueId val="{00000009-C541-494F-83B0-8EA42B4F5165}"/>
            </c:ext>
          </c:extLst>
        </c:ser>
        <c:ser>
          <c:idx val="10"/>
          <c:order val="10"/>
          <c:tx>
            <c:strRef>
              <c:f>'STEP 2 Detailed analysis'!$BD$25</c:f>
              <c:strCache>
                <c:ptCount val="1"/>
                <c:pt idx="0">
                  <c:v>Saving</c:v>
                </c:pt>
              </c:strCache>
            </c:strRef>
          </c:tx>
          <c:spPr>
            <a:solidFill>
              <a:srgbClr val="D8BEEC"/>
            </a:solidFill>
            <a:ln w="19050">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c:separator>
            <c:showLeaderLines val="0"/>
            <c:extLst>
              <c:ext xmlns:c15="http://schemas.microsoft.com/office/drawing/2012/chart" uri="{CE6537A1-D6FC-4f65-9D91-7224C49458BB}">
                <c15:showLeaderLines val="0"/>
              </c:ext>
            </c:extLst>
          </c:dLbls>
          <c:val>
            <c:numRef>
              <c:f>('STEP 2 Detailed analysis'!$A$5,'STEP 2 Detailed analysis'!$BG$15)</c:f>
              <c:numCache>
                <c:formatCode>_("$"* #,##0.00_);_("$"* \(#,##0.00\);_("$"* "-"??_);_(@_)</c:formatCode>
                <c:ptCount val="2"/>
                <c:pt idx="1">
                  <c:v>2244.3420000000001</c:v>
                </c:pt>
              </c:numCache>
            </c:numRef>
          </c:val>
          <c:extLst>
            <c:ext xmlns:c16="http://schemas.microsoft.com/office/drawing/2014/chart" uri="{C3380CC4-5D6E-409C-BE32-E72D297353CC}">
              <c16:uniqueId val="{0000000A-C541-494F-83B0-8EA42B4F5165}"/>
            </c:ext>
          </c:extLst>
        </c:ser>
        <c:dLbls>
          <c:showLegendKey val="0"/>
          <c:showVal val="0"/>
          <c:showCatName val="0"/>
          <c:showSerName val="0"/>
          <c:showPercent val="0"/>
          <c:showBubbleSize val="0"/>
        </c:dLbls>
        <c:gapWidth val="55"/>
        <c:overlap val="100"/>
        <c:axId val="854830768"/>
        <c:axId val="854835032"/>
      </c:barChart>
      <c:catAx>
        <c:axId val="85483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835032"/>
        <c:crosses val="autoZero"/>
        <c:auto val="1"/>
        <c:lblAlgn val="ctr"/>
        <c:lblOffset val="100"/>
        <c:noMultiLvlLbl val="0"/>
      </c:catAx>
      <c:valAx>
        <c:axId val="8548350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830768"/>
        <c:crosses val="autoZero"/>
        <c:crossBetween val="between"/>
      </c:valAx>
      <c:spPr>
        <a:noFill/>
        <a:ln>
          <a:noFill/>
        </a:ln>
        <a:effectLst/>
      </c:spPr>
    </c:plotArea>
    <c:legend>
      <c:legendPos val="r"/>
      <c:layout>
        <c:manualLayout>
          <c:xMode val="edge"/>
          <c:yMode val="edge"/>
          <c:x val="0.54764419691441013"/>
          <c:y val="0.25083636068670223"/>
          <c:w val="0.43893284680878303"/>
          <c:h val="0.56793728598494719"/>
        </c:manualLayout>
      </c:layout>
      <c:overlay val="0"/>
      <c:spPr>
        <a:noFill/>
        <a:ln>
          <a:noFill/>
        </a:ln>
        <a:effectLst/>
      </c:spPr>
      <c:txPr>
        <a:bodyPr rot="0" spcFirstLastPara="1" vertOverflow="ellipsis" vert="horz" wrap="square" anchor="ctr" anchorCtr="1"/>
        <a:lstStyle/>
        <a:p>
          <a:pPr>
            <a:defRPr sz="1100" b="0" i="0" u="none" strike="noStrike" kern="1000" spc="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Breakdown of current pumping costs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780810859271535E-2"/>
          <c:y val="0.23309465236954813"/>
          <c:w val="0.8872538480155473"/>
          <c:h val="0.70743954244775897"/>
        </c:manualLayout>
      </c:layout>
      <c:pie3DChart>
        <c:varyColors val="1"/>
        <c:ser>
          <c:idx val="0"/>
          <c:order val="0"/>
          <c:explosion val="12"/>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BD01-4E8C-B95A-27A4D995274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BD01-4E8C-B95A-27A4D995274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BD01-4E8C-B95A-27A4D995274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BD01-4E8C-B95A-27A4D995274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BD01-4E8C-B95A-27A4D9952742}"/>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BD01-4E8C-B95A-27A4D9952742}"/>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BD01-4E8C-B95A-27A4D9952742}"/>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BD01-4E8C-B95A-27A4D9952742}"/>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BD01-4E8C-B95A-27A4D9952742}"/>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BD01-4E8C-B95A-27A4D995274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'STEP 2 Detailed analysis'!$AQ$7:$AQ$14</c:f>
              <c:strCache>
                <c:ptCount val="8"/>
                <c:pt idx="0">
                  <c:v>Static head</c:v>
                </c:pt>
                <c:pt idx="1">
                  <c:v>Suction</c:v>
                </c:pt>
                <c:pt idx="2">
                  <c:v>Main line</c:v>
                </c:pt>
                <c:pt idx="3">
                  <c:v>Pivot boom</c:v>
                </c:pt>
                <c:pt idx="4">
                  <c:v>Residual pressure</c:v>
                </c:pt>
                <c:pt idx="5">
                  <c:v>Pump inefficiency</c:v>
                </c:pt>
                <c:pt idx="6">
                  <c:v>Drive inefficiency</c:v>
                </c:pt>
                <c:pt idx="7">
                  <c:v>Motor inefficiency</c:v>
                </c:pt>
              </c:strCache>
            </c:strRef>
          </c:cat>
          <c:val>
            <c:numRef>
              <c:f>'STEP 2 Detailed analysis'!$AZ$7:$AZ$14</c:f>
              <c:numCache>
                <c:formatCode>_-"$"* #,##0_-;\-"$"* #,##0_-;_-"$"* "-"??_-;_-@_-</c:formatCode>
                <c:ptCount val="8"/>
                <c:pt idx="0">
                  <c:v>842.90316772714164</c:v>
                </c:pt>
                <c:pt idx="1">
                  <c:v>280.96772257571394</c:v>
                </c:pt>
                <c:pt idx="2">
                  <c:v>1440.239680322358</c:v>
                </c:pt>
                <c:pt idx="3">
                  <c:v>2542.4050566555811</c:v>
                </c:pt>
                <c:pt idx="4">
                  <c:v>2963.8566405191527</c:v>
                </c:pt>
                <c:pt idx="5">
                  <c:v>3285.4290957513435</c:v>
                </c:pt>
                <c:pt idx="6">
                  <c:v>0</c:v>
                </c:pt>
                <c:pt idx="7">
                  <c:v>714.63764245600873</c:v>
                </c:pt>
              </c:numCache>
            </c:numRef>
          </c:val>
          <c:extLst>
            <c:ext xmlns:c16="http://schemas.microsoft.com/office/drawing/2014/chart" uri="{C3380CC4-5D6E-409C-BE32-E72D297353CC}">
              <c16:uniqueId val="{00000014-BD01-4E8C-B95A-27A4D9952742}"/>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Running costs of irrigation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'data for graph'!$C$4</c:f>
              <c:strCache>
                <c:ptCount val="1"/>
                <c:pt idx="0">
                  <c:v>Static</c:v>
                </c:pt>
              </c:strCache>
            </c:strRef>
          </c:tx>
          <c:spPr>
            <a:solidFill>
              <a:schemeClr val="accent1"/>
            </a:solidFill>
            <a:ln>
              <a:noFill/>
            </a:ln>
            <a:effectLst/>
          </c:spPr>
          <c:invertIfNegative val="0"/>
          <c:cat>
            <c:numRef>
              <c:f>'data for graph'!$B$6:$B$39</c:f>
              <c:numCache>
                <c:formatCode>General</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'data for graph'!$C$6:$C$39</c:f>
              <c:numCache>
                <c:formatCode>0</c:formatCode>
                <c:ptCount val="34"/>
                <c:pt idx="0">
                  <c:v>0.53722222222222216</c:v>
                </c:pt>
                <c:pt idx="1">
                  <c:v>6.9444444444444455</c:v>
                </c:pt>
                <c:pt idx="2">
                  <c:v>11.055555555555555</c:v>
                </c:pt>
                <c:pt idx="3">
                  <c:v>6.9444444444444455</c:v>
                </c:pt>
                <c:pt idx="4">
                  <c:v>0.34319444444444452</c:v>
                </c:pt>
                <c:pt idx="5">
                  <c:v>5.9227777777777773</c:v>
                </c:pt>
                <c:pt idx="6">
                  <c:v>6.9444444444444429</c:v>
                </c:pt>
                <c:pt idx="7">
                  <c:v>10.277777777777777</c:v>
                </c:pt>
                <c:pt idx="8">
                  <c:v>17.361111111111111</c:v>
                </c:pt>
                <c:pt idx="9">
                  <c:v>9.1666666666666661</c:v>
                </c:pt>
                <c:pt idx="10">
                  <c:v>6.9444444444444446</c:v>
                </c:pt>
                <c:pt idx="11">
                  <c:v>21.532631230116639</c:v>
                </c:pt>
                <c:pt idx="12">
                  <c:v>8.2918739635157532</c:v>
                </c:pt>
                <c:pt idx="13">
                  <c:v>10.666666666666668</c:v>
                </c:pt>
                <c:pt idx="14">
                  <c:v>6.9444444444444446</c:v>
                </c:pt>
                <c:pt idx="15">
                  <c:v>8.3333333333333321</c:v>
                </c:pt>
                <c:pt idx="16">
                  <c:v>28.93518518518518</c:v>
                </c:pt>
                <c:pt idx="17">
                  <c:v>13.888888888888888</c:v>
                </c:pt>
                <c:pt idx="18">
                  <c:v>10.430000000000003</c:v>
                </c:pt>
                <c:pt idx="19">
                  <c:v>25.180555555555561</c:v>
                </c:pt>
                <c:pt idx="20">
                  <c:v>5.2499999999999991</c:v>
                </c:pt>
                <c:pt idx="21">
                  <c:v>6.9444444444444455</c:v>
                </c:pt>
                <c:pt idx="22">
                  <c:v>25</c:v>
                </c:pt>
                <c:pt idx="23">
                  <c:v>3.6719177914710479</c:v>
                </c:pt>
                <c:pt idx="24">
                  <c:v>3.0027777777777778</c:v>
                </c:pt>
                <c:pt idx="25">
                  <c:v>6.9444444444444455</c:v>
                </c:pt>
                <c:pt idx="26">
                  <c:v>10.416666666666664</c:v>
                </c:pt>
                <c:pt idx="27">
                  <c:v>5.3999999999999995</c:v>
                </c:pt>
                <c:pt idx="28">
                  <c:v>6.25</c:v>
                </c:pt>
                <c:pt idx="29">
                  <c:v>13.141666666666666</c:v>
                </c:pt>
                <c:pt idx="30">
                  <c:v>9.7777777777777803</c:v>
                </c:pt>
                <c:pt idx="31">
                  <c:v>14.583333333333336</c:v>
                </c:pt>
                <c:pt idx="32">
                  <c:v>15.277777777777779</c:v>
                </c:pt>
                <c:pt idx="33">
                  <c:v>1.9</c:v>
                </c:pt>
              </c:numCache>
            </c:numRef>
          </c:val>
          <c:extLst>
            <c:ext xmlns:c16="http://schemas.microsoft.com/office/drawing/2014/chart" uri="{C3380CC4-5D6E-409C-BE32-E72D297353CC}">
              <c16:uniqueId val="{00000000-BE80-4C31-ADC3-2E9ECF249D8F}"/>
            </c:ext>
          </c:extLst>
        </c:ser>
        <c:ser>
          <c:idx val="1"/>
          <c:order val="1"/>
          <c:tx>
            <c:strRef>
              <c:f>'data for graph'!$D$4</c:f>
              <c:strCache>
                <c:ptCount val="1"/>
                <c:pt idx="0">
                  <c:v>Pipe + fittings</c:v>
                </c:pt>
              </c:strCache>
            </c:strRef>
          </c:tx>
          <c:spPr>
            <a:solidFill>
              <a:schemeClr val="accent2"/>
            </a:solidFill>
            <a:ln>
              <a:noFill/>
            </a:ln>
            <a:effectLst/>
          </c:spPr>
          <c:invertIfNegative val="0"/>
          <c:cat>
            <c:numRef>
              <c:f>'data for graph'!$B$6:$B$39</c:f>
              <c:numCache>
                <c:formatCode>General</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'data for graph'!$D$6:$D$39</c:f>
              <c:numCache>
                <c:formatCode>0</c:formatCode>
                <c:ptCount val="34"/>
                <c:pt idx="0">
                  <c:v>4.835</c:v>
                </c:pt>
                <c:pt idx="1">
                  <c:v>9.7222222222222232</c:v>
                </c:pt>
                <c:pt idx="2">
                  <c:v>19.347222222222225</c:v>
                </c:pt>
                <c:pt idx="3">
                  <c:v>10.416666666666666</c:v>
                </c:pt>
                <c:pt idx="4">
                  <c:v>16.610611111111112</c:v>
                </c:pt>
                <c:pt idx="5">
                  <c:v>8.8841666666666654</c:v>
                </c:pt>
                <c:pt idx="6">
                  <c:v>18.749999999999996</c:v>
                </c:pt>
                <c:pt idx="7">
                  <c:v>14.902777777777773</c:v>
                </c:pt>
                <c:pt idx="8">
                  <c:v>9.7222222222222214</c:v>
                </c:pt>
                <c:pt idx="9">
                  <c:v>16.041666666666661</c:v>
                </c:pt>
                <c:pt idx="10">
                  <c:v>7.6388888888888884</c:v>
                </c:pt>
                <c:pt idx="11">
                  <c:v>6.2166790164369008</c:v>
                </c:pt>
                <c:pt idx="12">
                  <c:v>26.533996683250411</c:v>
                </c:pt>
                <c:pt idx="13">
                  <c:v>11.200000000000001</c:v>
                </c:pt>
                <c:pt idx="14">
                  <c:v>13.888888888888889</c:v>
                </c:pt>
                <c:pt idx="15">
                  <c:v>9.9999999999999982</c:v>
                </c:pt>
                <c:pt idx="16">
                  <c:v>12.152777777777773</c:v>
                </c:pt>
                <c:pt idx="17">
                  <c:v>18.749999999999996</c:v>
                </c:pt>
                <c:pt idx="18">
                  <c:v>19.701111111111114</c:v>
                </c:pt>
                <c:pt idx="19">
                  <c:v>27.494444444444444</c:v>
                </c:pt>
                <c:pt idx="20">
                  <c:v>27.999999999999996</c:v>
                </c:pt>
                <c:pt idx="21">
                  <c:v>5.5555555555555562</c:v>
                </c:pt>
                <c:pt idx="22">
                  <c:v>25.625</c:v>
                </c:pt>
                <c:pt idx="23">
                  <c:v>41.883940972222227</c:v>
                </c:pt>
                <c:pt idx="24">
                  <c:v>9.6088888888888899</c:v>
                </c:pt>
                <c:pt idx="25">
                  <c:v>22.222222222222225</c:v>
                </c:pt>
                <c:pt idx="26">
                  <c:v>16.666666666666668</c:v>
                </c:pt>
                <c:pt idx="27">
                  <c:v>17.549999999999997</c:v>
                </c:pt>
                <c:pt idx="28">
                  <c:v>29.166666666666664</c:v>
                </c:pt>
                <c:pt idx="29">
                  <c:v>23.516666666666662</c:v>
                </c:pt>
                <c:pt idx="30">
                  <c:v>23.222222222222229</c:v>
                </c:pt>
                <c:pt idx="31">
                  <c:v>16.666666666666668</c:v>
                </c:pt>
                <c:pt idx="32">
                  <c:v>22.777777777777779</c:v>
                </c:pt>
                <c:pt idx="33">
                  <c:v>7.6</c:v>
                </c:pt>
              </c:numCache>
            </c:numRef>
          </c:val>
          <c:extLst>
            <c:ext xmlns:c16="http://schemas.microsoft.com/office/drawing/2014/chart" uri="{C3380CC4-5D6E-409C-BE32-E72D297353CC}">
              <c16:uniqueId val="{00000001-BE80-4C31-ADC3-2E9ECF249D8F}"/>
            </c:ext>
          </c:extLst>
        </c:ser>
        <c:ser>
          <c:idx val="2"/>
          <c:order val="2"/>
          <c:tx>
            <c:strRef>
              <c:f>'data for graph'!$E$4</c:f>
              <c:strCache>
                <c:ptCount val="1"/>
                <c:pt idx="0">
                  <c:v>Irrigator</c:v>
                </c:pt>
              </c:strCache>
            </c:strRef>
          </c:tx>
          <c:spPr>
            <a:solidFill>
              <a:schemeClr val="accent3"/>
            </a:solidFill>
            <a:ln>
              <a:noFill/>
            </a:ln>
            <a:effectLst/>
          </c:spPr>
          <c:invertIfNegative val="0"/>
          <c:cat>
            <c:numRef>
              <c:f>'data for graph'!$B$6:$B$39</c:f>
              <c:numCache>
                <c:formatCode>General</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'data for graph'!$E$6:$E$39</c:f>
              <c:numCache>
                <c:formatCode>0</c:formatCode>
                <c:ptCount val="34"/>
                <c:pt idx="0">
                  <c:v>10.744444444444445</c:v>
                </c:pt>
                <c:pt idx="1">
                  <c:v>16.666666666666668</c:v>
                </c:pt>
                <c:pt idx="2">
                  <c:v>8.2916666666666661</c:v>
                </c:pt>
                <c:pt idx="3">
                  <c:v>17.361111111111111</c:v>
                </c:pt>
                <c:pt idx="4">
                  <c:v>14.414166666666667</c:v>
                </c:pt>
                <c:pt idx="5">
                  <c:v>10.576388888888886</c:v>
                </c:pt>
                <c:pt idx="6">
                  <c:v>17.361111111111111</c:v>
                </c:pt>
                <c:pt idx="7">
                  <c:v>12.84722222222222</c:v>
                </c:pt>
                <c:pt idx="8">
                  <c:v>17.361111111111111</c:v>
                </c:pt>
                <c:pt idx="9">
                  <c:v>9.1666666666666661</c:v>
                </c:pt>
                <c:pt idx="10">
                  <c:v>38.888888888888893</c:v>
                </c:pt>
                <c:pt idx="11">
                  <c:v>15.91793975344644</c:v>
                </c:pt>
                <c:pt idx="12">
                  <c:v>20.729684908789384</c:v>
                </c:pt>
                <c:pt idx="13">
                  <c:v>16</c:v>
                </c:pt>
                <c:pt idx="14">
                  <c:v>39.583333333333329</c:v>
                </c:pt>
                <c:pt idx="15">
                  <c:v>16.666666666666664</c:v>
                </c:pt>
                <c:pt idx="16">
                  <c:v>14.46759259259259</c:v>
                </c:pt>
                <c:pt idx="17">
                  <c:v>26.388888888888889</c:v>
                </c:pt>
                <c:pt idx="18">
                  <c:v>28.972222222222225</c:v>
                </c:pt>
                <c:pt idx="19">
                  <c:v>8.8472222222222232</c:v>
                </c:pt>
                <c:pt idx="20">
                  <c:v>6.9999999999999991</c:v>
                </c:pt>
                <c:pt idx="21">
                  <c:v>26.388888888888893</c:v>
                </c:pt>
                <c:pt idx="22">
                  <c:v>11.805555555555554</c:v>
                </c:pt>
                <c:pt idx="23">
                  <c:v>9.1496967918622847</c:v>
                </c:pt>
                <c:pt idx="24">
                  <c:v>33.030555555555559</c:v>
                </c:pt>
                <c:pt idx="25">
                  <c:v>34.722222222222221</c:v>
                </c:pt>
                <c:pt idx="26">
                  <c:v>38.888888888888886</c:v>
                </c:pt>
                <c:pt idx="27">
                  <c:v>26.999999999999996</c:v>
                </c:pt>
                <c:pt idx="28">
                  <c:v>15.97222222222222</c:v>
                </c:pt>
                <c:pt idx="29">
                  <c:v>24.208333333333329</c:v>
                </c:pt>
                <c:pt idx="30">
                  <c:v>39.722222222222229</c:v>
                </c:pt>
                <c:pt idx="31">
                  <c:v>34.722222222222229</c:v>
                </c:pt>
                <c:pt idx="32">
                  <c:v>25.138888888888893</c:v>
                </c:pt>
                <c:pt idx="33">
                  <c:v>25</c:v>
                </c:pt>
              </c:numCache>
            </c:numRef>
          </c:val>
          <c:extLst>
            <c:ext xmlns:c16="http://schemas.microsoft.com/office/drawing/2014/chart" uri="{C3380CC4-5D6E-409C-BE32-E72D297353CC}">
              <c16:uniqueId val="{00000002-BE80-4C31-ADC3-2E9ECF249D8F}"/>
            </c:ext>
          </c:extLst>
        </c:ser>
        <c:ser>
          <c:idx val="3"/>
          <c:order val="3"/>
          <c:tx>
            <c:strRef>
              <c:f>'data for graph'!$F$4</c:f>
              <c:strCache>
                <c:ptCount val="1"/>
                <c:pt idx="0">
                  <c:v>Pump</c:v>
                </c:pt>
              </c:strCache>
            </c:strRef>
          </c:tx>
          <c:spPr>
            <a:solidFill>
              <a:schemeClr val="accent4"/>
            </a:solidFill>
            <a:ln>
              <a:noFill/>
            </a:ln>
            <a:effectLst/>
          </c:spPr>
          <c:invertIfNegative val="0"/>
          <c:cat>
            <c:numRef>
              <c:f>'data for graph'!$B$6:$B$39</c:f>
              <c:numCache>
                <c:formatCode>General</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'data for graph'!$F$6:$F$39</c:f>
              <c:numCache>
                <c:formatCode>0</c:formatCode>
                <c:ptCount val="34"/>
                <c:pt idx="0">
                  <c:v>10.798166666666667</c:v>
                </c:pt>
                <c:pt idx="1">
                  <c:v>9.7701149425287319</c:v>
                </c:pt>
                <c:pt idx="2">
                  <c:v>8.3413874191651871</c:v>
                </c:pt>
                <c:pt idx="3">
                  <c:v>10.416666666666666</c:v>
                </c:pt>
                <c:pt idx="4">
                  <c:v>17.438993426632742</c:v>
                </c:pt>
                <c:pt idx="5">
                  <c:v>33.125249999999994</c:v>
                </c:pt>
                <c:pt idx="6">
                  <c:v>17.129629629629637</c:v>
                </c:pt>
                <c:pt idx="7">
                  <c:v>22.675347222222218</c:v>
                </c:pt>
                <c:pt idx="8">
                  <c:v>24.999999999999996</c:v>
                </c:pt>
                <c:pt idx="9">
                  <c:v>38.605769230769234</c:v>
                </c:pt>
                <c:pt idx="10">
                  <c:v>20.601851851851858</c:v>
                </c:pt>
                <c:pt idx="11">
                  <c:v>34.136684878587211</c:v>
                </c:pt>
                <c:pt idx="12">
                  <c:v>19.444444444444443</c:v>
                </c:pt>
                <c:pt idx="13">
                  <c:v>37.243357783211081</c:v>
                </c:pt>
                <c:pt idx="14">
                  <c:v>14.980158730158731</c:v>
                </c:pt>
                <c:pt idx="15">
                  <c:v>33.817204301075265</c:v>
                </c:pt>
                <c:pt idx="16">
                  <c:v>25.029550827423172</c:v>
                </c:pt>
                <c:pt idx="17">
                  <c:v>23.644179894179903</c:v>
                </c:pt>
                <c:pt idx="18">
                  <c:v>23.882025641025638</c:v>
                </c:pt>
                <c:pt idx="19">
                  <c:v>25.72426426426426</c:v>
                </c:pt>
                <c:pt idx="20">
                  <c:v>52.562142038946142</c:v>
                </c:pt>
                <c:pt idx="21">
                  <c:v>53.703703703703695</c:v>
                </c:pt>
                <c:pt idx="22">
                  <c:v>29.236111111111104</c:v>
                </c:pt>
                <c:pt idx="23">
                  <c:v>39.356944444444444</c:v>
                </c:pt>
                <c:pt idx="24">
                  <c:v>58.597063492063484</c:v>
                </c:pt>
                <c:pt idx="25">
                  <c:v>42.757936507936506</c:v>
                </c:pt>
                <c:pt idx="26">
                  <c:v>46.207264957264961</c:v>
                </c:pt>
                <c:pt idx="27">
                  <c:v>68.266216216216208</c:v>
                </c:pt>
                <c:pt idx="28">
                  <c:v>76.600241545893709</c:v>
                </c:pt>
                <c:pt idx="29">
                  <c:v>61.657142857142851</c:v>
                </c:pt>
                <c:pt idx="30">
                  <c:v>43.759259259259267</c:v>
                </c:pt>
                <c:pt idx="31">
                  <c:v>59.027777777777764</c:v>
                </c:pt>
                <c:pt idx="32">
                  <c:v>68.519841269841265</c:v>
                </c:pt>
                <c:pt idx="33">
                  <c:v>120</c:v>
                </c:pt>
              </c:numCache>
            </c:numRef>
          </c:val>
          <c:extLst>
            <c:ext xmlns:c16="http://schemas.microsoft.com/office/drawing/2014/chart" uri="{C3380CC4-5D6E-409C-BE32-E72D297353CC}">
              <c16:uniqueId val="{00000003-BE80-4C31-ADC3-2E9ECF249D8F}"/>
            </c:ext>
          </c:extLst>
        </c:ser>
        <c:ser>
          <c:idx val="4"/>
          <c:order val="4"/>
          <c:tx>
            <c:strRef>
              <c:f>'data for graph'!$G$4</c:f>
              <c:strCache>
                <c:ptCount val="1"/>
                <c:pt idx="0">
                  <c:v>Motor</c:v>
                </c:pt>
              </c:strCache>
            </c:strRef>
          </c:tx>
          <c:spPr>
            <a:solidFill>
              <a:schemeClr val="accent5"/>
            </a:solidFill>
            <a:ln>
              <a:noFill/>
            </a:ln>
            <a:effectLst/>
          </c:spPr>
          <c:invertIfNegative val="0"/>
          <c:cat>
            <c:numRef>
              <c:f>'data for graph'!$B$6:$B$39</c:f>
              <c:numCache>
                <c:formatCode>General</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'data for graph'!$G$6:$G$39</c:f>
              <c:numCache>
                <c:formatCode>0</c:formatCode>
                <c:ptCount val="34"/>
                <c:pt idx="0">
                  <c:v>8.971611111111109</c:v>
                </c:pt>
                <c:pt idx="1">
                  <c:v>4.7892720306513414</c:v>
                </c:pt>
                <c:pt idx="2">
                  <c:v>2.6849206349206431</c:v>
                </c:pt>
                <c:pt idx="3">
                  <c:v>5.0154320987654328</c:v>
                </c:pt>
                <c:pt idx="4">
                  <c:v>5.4229961832061084</c:v>
                </c:pt>
                <c:pt idx="5">
                  <c:v>4.949749999999999</c:v>
                </c:pt>
                <c:pt idx="6">
                  <c:v>6.6872427983539104</c:v>
                </c:pt>
                <c:pt idx="7">
                  <c:v>6.7447916666666696</c:v>
                </c:pt>
                <c:pt idx="8">
                  <c:v>7.7160493827160499</c:v>
                </c:pt>
                <c:pt idx="9">
                  <c:v>8.1089743589743613</c:v>
                </c:pt>
                <c:pt idx="10">
                  <c:v>8.2304526748971139</c:v>
                </c:pt>
                <c:pt idx="11">
                  <c:v>4.9662086092715221</c:v>
                </c:pt>
                <c:pt idx="12">
                  <c:v>8.3333333333333339</c:v>
                </c:pt>
                <c:pt idx="13">
                  <c:v>8.3455582722086366</c:v>
                </c:pt>
                <c:pt idx="14">
                  <c:v>8.3774250440917086</c:v>
                </c:pt>
                <c:pt idx="15">
                  <c:v>17.204301075268816</c:v>
                </c:pt>
                <c:pt idx="16">
                  <c:v>8.9539007092198606</c:v>
                </c:pt>
                <c:pt idx="17">
                  <c:v>9.1857730746619648</c:v>
                </c:pt>
                <c:pt idx="18">
                  <c:v>12.400111111111112</c:v>
                </c:pt>
                <c:pt idx="19">
                  <c:v>9.6940540540540656</c:v>
                </c:pt>
                <c:pt idx="20">
                  <c:v>7.4169530355097404</c:v>
                </c:pt>
                <c:pt idx="21">
                  <c:v>10.288065843621389</c:v>
                </c:pt>
                <c:pt idx="22">
                  <c:v>12.499999999999995</c:v>
                </c:pt>
                <c:pt idx="23">
                  <c:v>10.451388888888886</c:v>
                </c:pt>
                <c:pt idx="24">
                  <c:v>11.582142857142854</c:v>
                </c:pt>
                <c:pt idx="25">
                  <c:v>11.849647266313935</c:v>
                </c:pt>
                <c:pt idx="26">
                  <c:v>12.464387464387457</c:v>
                </c:pt>
                <c:pt idx="27">
                  <c:v>13.135135135135139</c:v>
                </c:pt>
                <c:pt idx="28">
                  <c:v>7.8804347826086927</c:v>
                </c:pt>
                <c:pt idx="29">
                  <c:v>13.613756613756619</c:v>
                </c:pt>
                <c:pt idx="30">
                  <c:v>20.555555555555546</c:v>
                </c:pt>
                <c:pt idx="31">
                  <c:v>13.888888888888889</c:v>
                </c:pt>
                <c:pt idx="32">
                  <c:v>11.142857142857142</c:v>
                </c:pt>
                <c:pt idx="33">
                  <c:v>25.333333333333329</c:v>
                </c:pt>
              </c:numCache>
            </c:numRef>
          </c:val>
          <c:extLst>
            <c:ext xmlns:c16="http://schemas.microsoft.com/office/drawing/2014/chart" uri="{C3380CC4-5D6E-409C-BE32-E72D297353CC}">
              <c16:uniqueId val="{00000004-BE80-4C31-ADC3-2E9ECF249D8F}"/>
            </c:ext>
          </c:extLst>
        </c:ser>
        <c:dLbls>
          <c:showLegendKey val="0"/>
          <c:showVal val="0"/>
          <c:showCatName val="0"/>
          <c:showSerName val="0"/>
          <c:showPercent val="0"/>
          <c:showBubbleSize val="0"/>
        </c:dLbls>
        <c:gapWidth val="150"/>
        <c:overlap val="100"/>
        <c:axId val="338613752"/>
        <c:axId val="338612768"/>
      </c:barChart>
      <c:catAx>
        <c:axId val="338613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612768"/>
        <c:crosses val="autoZero"/>
        <c:auto val="1"/>
        <c:lblAlgn val="ctr"/>
        <c:lblOffset val="100"/>
        <c:noMultiLvlLbl val="0"/>
      </c:catAx>
      <c:valAx>
        <c:axId val="338612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 of irrigation $/ ML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613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hyperlink" Target="https://www.dpi.nsw.gov.au/__data/assets/pdf_file/0003/564780/electric-pumps-performance-and-efficiency.pdf" TargetMode="External"/><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hyperlink" Target="https://www.cottoninfo.com.au/energy-use-efficiency" TargetMode="External"/><Relationship Id="rId5" Type="http://schemas.openxmlformats.org/officeDocument/2006/relationships/hyperlink" Target="https://www.cottoninfo.com.au/publications/energy-fundamentals-energy-use-water-pumping" TargetMode="Externa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104774</xdr:colOff>
      <xdr:row>0</xdr:row>
      <xdr:rowOff>95248</xdr:rowOff>
    </xdr:from>
    <xdr:to>
      <xdr:col>16</xdr:col>
      <xdr:colOff>44823</xdr:colOff>
      <xdr:row>95</xdr:row>
      <xdr:rowOff>22412</xdr:rowOff>
    </xdr:to>
    <xdr:sp macro="" textlink="">
      <xdr:nvSpPr>
        <xdr:cNvPr id="2" name="TextBox 1">
          <a:extLst>
            <a:ext uri="{FF2B5EF4-FFF2-40B4-BE49-F238E27FC236}">
              <a16:creationId xmlns:a16="http://schemas.microsoft.com/office/drawing/2014/main" id="{3C1A03F9-7EDA-46F7-A1EF-E20F1343D14F}"/>
            </a:ext>
          </a:extLst>
        </xdr:cNvPr>
        <xdr:cNvSpPr txBox="1"/>
      </xdr:nvSpPr>
      <xdr:spPr>
        <a:xfrm>
          <a:off x="104774" y="95248"/>
          <a:ext cx="9693649" cy="18034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600" b="1"/>
        </a:p>
        <a:p>
          <a:endParaRPr lang="en-AU" sz="1600" b="1"/>
        </a:p>
        <a:p>
          <a:r>
            <a:rPr lang="en-AU" sz="1600" b="1"/>
            <a:t>Energy tool - centre pivot</a:t>
          </a:r>
          <a:r>
            <a:rPr lang="en-AU" sz="1600" b="1" baseline="0"/>
            <a:t> </a:t>
          </a:r>
          <a:r>
            <a:rPr lang="en-AU" sz="1600" b="1"/>
            <a:t>irrigation systems</a:t>
          </a:r>
        </a:p>
        <a:p>
          <a:endParaRPr lang="en-AU" sz="1600" b="1"/>
        </a:p>
        <a:p>
          <a:r>
            <a:rPr lang="en-AU" sz="1100"/>
            <a:t>This tool will provide a guide to </a:t>
          </a:r>
          <a:r>
            <a:rPr lang="en-AU" sz="1100">
              <a:solidFill>
                <a:schemeClr val="dk1"/>
              </a:solidFill>
              <a:effectLst/>
              <a:latin typeface="+mn-lt"/>
              <a:ea typeface="+mn-ea"/>
              <a:cs typeface="+mn-cs"/>
            </a:rPr>
            <a:t>understanding</a:t>
          </a:r>
          <a:r>
            <a:rPr lang="en-AU" sz="1100"/>
            <a:t> if the energy use</a:t>
          </a:r>
          <a:r>
            <a:rPr lang="en-AU" sz="1100" baseline="0"/>
            <a:t> of</a:t>
          </a:r>
          <a:r>
            <a:rPr lang="en-AU" sz="1100"/>
            <a:t> your irrigation</a:t>
          </a:r>
          <a:r>
            <a:rPr lang="en-AU" sz="1100" baseline="0"/>
            <a:t> system is optimal, based on the total head, energy source (diesel or electricity) and cost, area irrigated, and your irrigation goals.</a:t>
          </a:r>
        </a:p>
        <a:p>
          <a:endParaRPr lang="en-AU" sz="1100" baseline="0"/>
        </a:p>
        <a:p>
          <a:r>
            <a:rPr lang="en-AU" sz="1100" baseline="0"/>
            <a:t>The tool has 2 steps and a System Analysis report which can be selected via the tabs at the bottom of the page:</a:t>
          </a:r>
        </a:p>
        <a:p>
          <a:pPr lvl="1"/>
          <a:r>
            <a:rPr lang="en-AU" sz="1100" baseline="0"/>
            <a:t>- </a:t>
          </a:r>
          <a:r>
            <a:rPr lang="en-AU" sz="1100" b="1" baseline="0"/>
            <a:t>STEP 1 Benchmark </a:t>
          </a:r>
          <a:r>
            <a:rPr lang="en-AU" sz="1100" baseline="0"/>
            <a:t>- Provides a rough estimate of pumping costs from your water and energy bills and benchmarks your pumping costs against other systems to see if cost savings are likely.</a:t>
          </a:r>
        </a:p>
        <a:p>
          <a:pPr lvl="1"/>
          <a:endParaRPr lang="en-AU" sz="1100" baseline="0"/>
        </a:p>
        <a:p>
          <a:pPr lvl="1"/>
          <a:r>
            <a:rPr lang="en-AU" sz="1100" baseline="0"/>
            <a:t>- </a:t>
          </a:r>
          <a:r>
            <a:rPr lang="en-AU" sz="1100" b="1" baseline="0">
              <a:solidFill>
                <a:schemeClr val="dk1"/>
              </a:solidFill>
              <a:effectLst/>
              <a:latin typeface="+mn-lt"/>
              <a:ea typeface="+mn-ea"/>
              <a:cs typeface="+mn-cs"/>
            </a:rPr>
            <a:t>STEP 2 Detailed analysis </a:t>
          </a:r>
          <a:r>
            <a:rPr lang="en-AU" sz="1100" baseline="0">
              <a:solidFill>
                <a:schemeClr val="dk1"/>
              </a:solidFill>
              <a:effectLst/>
              <a:latin typeface="+mn-lt"/>
              <a:ea typeface="+mn-ea"/>
              <a:cs typeface="+mn-cs"/>
            </a:rPr>
            <a:t>- Enter measured pressures at designated points on your irrigation system to calculate the energy costs of different components of the system and potential cost savings from improving the system. This step will also identify if your system pressure is too low, negatively impacting on application uniformty. System capacity is also calculated which gives an indication if your system is designed well enough to keep up with crop water requirements.</a:t>
          </a:r>
        </a:p>
        <a:p>
          <a:pPr lvl="1"/>
          <a:endParaRPr lang="en-AU" sz="1100" baseline="0">
            <a:solidFill>
              <a:schemeClr val="dk1"/>
            </a:solidFill>
            <a:effectLst/>
            <a:latin typeface="+mn-lt"/>
            <a:ea typeface="+mn-ea"/>
            <a:cs typeface="+mn-cs"/>
          </a:endParaRPr>
        </a:p>
        <a:p>
          <a:pPr lvl="1"/>
          <a:r>
            <a:rPr lang="en-AU" sz="1100" baseline="0">
              <a:solidFill>
                <a:schemeClr val="dk1"/>
              </a:solidFill>
              <a:effectLst/>
              <a:latin typeface="+mn-lt"/>
              <a:ea typeface="+mn-ea"/>
              <a:cs typeface="+mn-cs"/>
            </a:rPr>
            <a:t>- </a:t>
          </a:r>
          <a:r>
            <a:rPr lang="en-AU" sz="1100" b="1" baseline="0">
              <a:solidFill>
                <a:schemeClr val="dk1"/>
              </a:solidFill>
              <a:effectLst/>
              <a:latin typeface="+mn-lt"/>
              <a:ea typeface="+mn-ea"/>
              <a:cs typeface="+mn-cs"/>
            </a:rPr>
            <a:t>System Analysis Report </a:t>
          </a:r>
          <a:r>
            <a:rPr lang="en-AU" sz="1100" baseline="0">
              <a:solidFill>
                <a:schemeClr val="dk1"/>
              </a:solidFill>
              <a:effectLst/>
              <a:latin typeface="+mn-lt"/>
              <a:ea typeface="+mn-ea"/>
              <a:cs typeface="+mn-cs"/>
            </a:rPr>
            <a:t>- This provides a summary of data entered in step 2, showing current operating costs and potential savings made by improving your irrigation system.</a:t>
          </a:r>
          <a:r>
            <a:rPr lang="en-AU" sz="1100" baseline="0"/>
            <a:t> </a:t>
          </a:r>
        </a:p>
        <a:p>
          <a:endParaRPr lang="en-AU" sz="1100" baseline="0"/>
        </a:p>
        <a:p>
          <a:r>
            <a:rPr lang="en-AU" sz="1100" b="1" baseline="0"/>
            <a:t>To use each sheet:</a:t>
          </a:r>
        </a:p>
        <a:p>
          <a:endParaRPr lang="en-AU" sz="1100" b="1" baseline="0"/>
        </a:p>
        <a:p>
          <a:r>
            <a:rPr lang="en-AU" sz="1100" baseline="0"/>
            <a:t>	input your own data in the light blue cells,</a:t>
          </a:r>
        </a:p>
        <a:p>
          <a:endParaRPr lang="en-AU" sz="1100" baseline="0"/>
        </a:p>
        <a:p>
          <a:r>
            <a:rPr lang="en-AU" sz="1100" baseline="0"/>
            <a:t>	 select the appropriate options from the dark blue cell menus</a:t>
          </a:r>
        </a:p>
        <a:p>
          <a:endParaRPr lang="en-AU" sz="1100" baseline="0"/>
        </a:p>
        <a:p>
          <a:endParaRPr lang="en-AU" sz="1100" baseline="0"/>
        </a:p>
        <a:p>
          <a:r>
            <a:rPr lang="en-AU" sz="1100" baseline="0"/>
            <a:t>	hover mouse over the help button (top left corner of each tab) for data input and interpretation help</a:t>
          </a:r>
        </a:p>
        <a:p>
          <a:endParaRPr lang="en-AU" sz="1100" baseline="0"/>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hover mouse over boxes with red triangles and red text for additional explanation.</a:t>
          </a:r>
          <a:endParaRPr lang="en-AU">
            <a:effectLst/>
          </a:endParaRPr>
        </a:p>
        <a:p>
          <a:endParaRPr lang="en-AU" sz="1100" baseline="0"/>
        </a:p>
        <a:p>
          <a:r>
            <a:rPr lang="en-AU" sz="1100" baseline="0"/>
            <a:t>	</a:t>
          </a:r>
        </a:p>
        <a:p>
          <a:r>
            <a:rPr lang="en-AU" sz="1100" baseline="0"/>
            <a:t>	results and outputs are shown in yellow boxes with </a:t>
          </a:r>
          <a:r>
            <a:rPr lang="en-AU" sz="1100" baseline="0">
              <a:solidFill>
                <a:srgbClr val="FF0000"/>
              </a:solidFill>
            </a:rPr>
            <a:t>red text </a:t>
          </a:r>
        </a:p>
        <a:p>
          <a:endParaRPr lang="en-AU" sz="1100" baseline="0"/>
        </a:p>
        <a:p>
          <a:r>
            <a:rPr lang="en-AU" sz="1100" baseline="0"/>
            <a:t>	shown when there is a problem with the irrigation system or data inputted.</a:t>
          </a:r>
        </a:p>
        <a:p>
          <a:endParaRPr lang="en-AU" sz="1100" baseline="0"/>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shown when there is an oportunity to improve a component of the irrigation system.</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shown when a component of irrigation system is working well.</a:t>
          </a:r>
          <a:endParaRPr lang="en-AU" sz="1100" baseline="0"/>
        </a:p>
        <a:p>
          <a:endParaRPr lang="en-AU" sz="1100" baseline="0"/>
        </a:p>
        <a:p>
          <a:endParaRPr lang="en-AU" sz="1100" baseline="0"/>
        </a:p>
        <a:p>
          <a:r>
            <a:rPr lang="en-AU" sz="1100" b="1" baseline="0"/>
            <a:t>Data you will need:</a:t>
          </a:r>
        </a:p>
        <a:p>
          <a:r>
            <a:rPr lang="en-AU" sz="1100" b="0" baseline="0"/>
            <a:t>	- Water use (monthly, quarterly or annual)</a:t>
          </a:r>
        </a:p>
        <a:p>
          <a:pPr marL="0" marR="0" lvl="0" indent="0" defTabSz="914400" eaLnBrk="1" fontAlgn="auto" latinLnBrk="0" hangingPunct="1">
            <a:lnSpc>
              <a:spcPct val="100000"/>
            </a:lnSpc>
            <a:spcBef>
              <a:spcPts val="0"/>
            </a:spcBef>
            <a:spcAft>
              <a:spcPts val="0"/>
            </a:spcAft>
            <a:buClrTx/>
            <a:buSzTx/>
            <a:buFontTx/>
            <a:buNone/>
            <a:tabLst/>
            <a:defRPr/>
          </a:pPr>
          <a:r>
            <a:rPr lang="en-AU" sz="1100" b="0" baseline="0"/>
            <a:t>	- Diesel or electricity usage </a:t>
          </a:r>
          <a:r>
            <a:rPr lang="en-AU" sz="1100" b="0" baseline="0">
              <a:solidFill>
                <a:schemeClr val="dk1"/>
              </a:solidFill>
              <a:effectLst/>
              <a:latin typeface="+mn-lt"/>
              <a:ea typeface="+mn-ea"/>
              <a:cs typeface="+mn-cs"/>
            </a:rPr>
            <a:t>(monthly, quarterly or annual)</a:t>
          </a:r>
          <a:endParaRPr lang="en-AU" sz="1100" b="0" baseline="0"/>
        </a:p>
        <a:p>
          <a:pPr marL="0" marR="0" lvl="0" indent="0" defTabSz="914400" eaLnBrk="1" fontAlgn="auto" latinLnBrk="0" hangingPunct="1">
            <a:lnSpc>
              <a:spcPct val="100000"/>
            </a:lnSpc>
            <a:spcBef>
              <a:spcPts val="0"/>
            </a:spcBef>
            <a:spcAft>
              <a:spcPts val="0"/>
            </a:spcAft>
            <a:buClrTx/>
            <a:buSzTx/>
            <a:buFontTx/>
            <a:buNone/>
            <a:tabLst/>
            <a:defRPr/>
          </a:pPr>
          <a:r>
            <a:rPr lang="en-AU" sz="1100" b="0" baseline="0"/>
            <a:t>	- </a:t>
          </a:r>
          <a:r>
            <a:rPr lang="en-AU" sz="1100" b="0" baseline="0">
              <a:solidFill>
                <a:schemeClr val="dk1"/>
              </a:solidFill>
              <a:effectLst/>
              <a:latin typeface="+mn-lt"/>
              <a:ea typeface="+mn-ea"/>
              <a:cs typeface="+mn-cs"/>
            </a:rPr>
            <a:t>Diesel or electricity costs (monthly, quarterly or annual)</a:t>
          </a:r>
        </a:p>
        <a:p>
          <a:pPr marL="0" marR="0" lvl="0" indent="0" defTabSz="914400" eaLnBrk="1" fontAlgn="auto" latinLnBrk="0" hangingPunct="1">
            <a:lnSpc>
              <a:spcPct val="100000"/>
            </a:lnSpc>
            <a:spcBef>
              <a:spcPts val="0"/>
            </a:spcBef>
            <a:spcAft>
              <a:spcPts val="0"/>
            </a:spcAft>
            <a:buClrTx/>
            <a:buSzTx/>
            <a:buFontTx/>
            <a:buNone/>
            <a:tabLst/>
            <a:defRPr/>
          </a:pPr>
          <a:r>
            <a:rPr lang="en-AU" sz="1100" b="0" baseline="0">
              <a:solidFill>
                <a:schemeClr val="dk1"/>
              </a:solidFill>
              <a:effectLst/>
              <a:latin typeface="+mn-lt"/>
              <a:ea typeface="+mn-ea"/>
              <a:cs typeface="+mn-cs"/>
            </a:rPr>
            <a:t>	- Pump flow rates</a:t>
          </a:r>
        </a:p>
        <a:p>
          <a:pPr marL="0" marR="0" lvl="0" indent="0" defTabSz="914400" eaLnBrk="1" fontAlgn="auto" latinLnBrk="0" hangingPunct="1">
            <a:lnSpc>
              <a:spcPct val="100000"/>
            </a:lnSpc>
            <a:spcBef>
              <a:spcPts val="0"/>
            </a:spcBef>
            <a:spcAft>
              <a:spcPts val="0"/>
            </a:spcAft>
            <a:buClrTx/>
            <a:buSzTx/>
            <a:buFontTx/>
            <a:buNone/>
            <a:tabLst/>
            <a:defRPr/>
          </a:pPr>
          <a:r>
            <a:rPr lang="en-AU" sz="1100" b="0" baseline="0">
              <a:solidFill>
                <a:schemeClr val="dk1"/>
              </a:solidFill>
              <a:effectLst/>
              <a:latin typeface="+mn-lt"/>
              <a:ea typeface="+mn-ea"/>
              <a:cs typeface="+mn-cs"/>
            </a:rPr>
            <a:t>	- System pressure at the pump, pivot base and end of the pivot</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baseline="0">
              <a:solidFill>
                <a:schemeClr val="dk1"/>
              </a:solidFill>
              <a:effectLst/>
              <a:latin typeface="+mn-lt"/>
              <a:ea typeface="+mn-ea"/>
              <a:cs typeface="+mn-cs"/>
            </a:rPr>
            <a:t>	- Vertical lift heights for water</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b="1" baseline="0"/>
        </a:p>
        <a:p>
          <a:endParaRPr lang="en-AU" sz="1100" baseline="0"/>
        </a:p>
        <a:p>
          <a:r>
            <a:rPr lang="en-AU" sz="1200" b="1" baseline="0"/>
            <a:t>Is your pumping system efficient?</a:t>
          </a:r>
        </a:p>
        <a:p>
          <a:r>
            <a:rPr lang="en-AU" sz="1100" baseline="0">
              <a:solidFill>
                <a:schemeClr val="dk1"/>
              </a:solidFill>
              <a:effectLst/>
              <a:latin typeface="+mn-lt"/>
              <a:ea typeface="+mn-ea"/>
              <a:cs typeface="+mn-cs"/>
            </a:rPr>
            <a:t>This tool will give an indication of how efficiently your pump is operating. </a:t>
          </a:r>
          <a:r>
            <a:rPr lang="en-AU" sz="1100" b="1" baseline="0">
              <a:solidFill>
                <a:schemeClr val="dk1"/>
              </a:solidFill>
              <a:effectLst/>
              <a:latin typeface="+mn-lt"/>
              <a:ea typeface="+mn-ea"/>
              <a:cs typeface="+mn-cs"/>
            </a:rPr>
            <a:t>The minimum acceptable pump efficiency is 70%. </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It will also indicate if the system pressure is within the desired operating range. </a:t>
          </a:r>
          <a:r>
            <a:rPr lang="en-AU" sz="1100" b="0" baseline="0">
              <a:solidFill>
                <a:schemeClr val="dk1"/>
              </a:solidFill>
              <a:effectLst/>
              <a:latin typeface="+mn-lt"/>
              <a:ea typeface="+mn-ea"/>
              <a:cs typeface="+mn-cs"/>
            </a:rPr>
            <a:t>Operating pressure may be too high, unnecessarily increasing costs and possibly upsetting the emitter pattern. Operating pressure also may be too low, which reduces operating costs but always diminishes irrigation performance and reduces crop productivity. </a:t>
          </a:r>
          <a:r>
            <a:rPr lang="en-AU" sz="1100" baseline="0">
              <a:solidFill>
                <a:schemeClr val="dk1"/>
              </a:solidFill>
              <a:effectLst/>
              <a:latin typeface="+mn-lt"/>
              <a:ea typeface="+mn-ea"/>
              <a:cs typeface="+mn-cs"/>
            </a:rPr>
            <a:t>If system pressure is too low, potential energy savings will be reduced because energy costs will likely increase if changes are made to improve application uniformity, which should be your first priority. Improved application uniformity can increase crop production.</a:t>
          </a:r>
          <a:endParaRPr lang="en-AU">
            <a:effectLst/>
          </a:endParaRPr>
        </a:p>
        <a:p>
          <a:endParaRPr lang="en-AU">
            <a:effectLst/>
          </a:endParaRPr>
        </a:p>
        <a:p>
          <a:r>
            <a:rPr lang="en-AU" sz="1100" b="0" baseline="0">
              <a:solidFill>
                <a:schemeClr val="dk1"/>
              </a:solidFill>
              <a:effectLst/>
              <a:latin typeface="+mn-lt"/>
              <a:ea typeface="+mn-ea"/>
              <a:cs typeface="+mn-cs"/>
            </a:rPr>
            <a:t>This tool</a:t>
          </a:r>
          <a:r>
            <a:rPr lang="en-AU" sz="1100" baseline="0">
              <a:solidFill>
                <a:schemeClr val="dk1"/>
              </a:solidFill>
              <a:effectLst/>
              <a:latin typeface="+mn-lt"/>
              <a:ea typeface="+mn-ea"/>
              <a:cs typeface="+mn-cs"/>
            </a:rPr>
            <a:t> also calculates the pumping cost per ML and breaks down where the costs occur in your system components.</a:t>
          </a:r>
          <a:endParaRPr lang="en-AU">
            <a:effectLst/>
          </a:endParaRPr>
        </a:p>
        <a:p>
          <a:endParaRPr lang="en-AU">
            <a:effectLst/>
          </a:endParaRPr>
        </a:p>
        <a:p>
          <a:r>
            <a:rPr lang="en-AU" sz="1200" b="1" baseline="0"/>
            <a:t>Causes of excess energy use</a:t>
          </a:r>
        </a:p>
        <a:p>
          <a:r>
            <a:rPr lang="en-AU" sz="1100" b="0" baseline="0"/>
            <a:t>Excess energy use can be caused by poor system design, typically in pipes being too small to carry the volume of water required at the necessary flow rate and pressure for the system to operate as intended. Operating outside of the pump's optimal performance range through varied speed or incorrect impeller size reduces efficiency and increases costs. Running your system at a higher pressure than required reduces efficiency, although this determination should be based on the pressure at the furthest point of the system to ensure the emitter(s) are performing as required.</a:t>
          </a:r>
        </a:p>
        <a:p>
          <a:endParaRPr lang="en-AU" sz="1100" b="0" i="0" u="none" strike="noStrike" baseline="0">
            <a:solidFill>
              <a:schemeClr val="dk1"/>
            </a:solidFill>
            <a:effectLst/>
            <a:latin typeface="+mn-lt"/>
            <a:ea typeface="+mn-ea"/>
            <a:cs typeface="+mn-cs"/>
          </a:endParaRPr>
        </a:p>
        <a:p>
          <a:r>
            <a:rPr lang="en-AU" sz="1100" b="1" i="0">
              <a:solidFill>
                <a:schemeClr val="dk1"/>
              </a:solidFill>
              <a:effectLst/>
              <a:latin typeface="+mn-lt"/>
              <a:ea typeface="+mn-ea"/>
              <a:cs typeface="+mn-cs"/>
            </a:rPr>
            <a:t>Notes/assumptions</a:t>
          </a:r>
          <a:endParaRPr lang="en-AU" sz="1200">
            <a:effectLst/>
          </a:endParaRPr>
        </a:p>
        <a:p>
          <a:r>
            <a:rPr lang="en-AU" sz="1100" b="0" i="0">
              <a:solidFill>
                <a:schemeClr val="dk1"/>
              </a:solidFill>
              <a:effectLst/>
              <a:latin typeface="+mn-lt"/>
              <a:ea typeface="+mn-ea"/>
              <a:cs typeface="+mn-cs"/>
            </a:rPr>
            <a:t>* 1 ML lifted 1 metre of height requires 4.55 kilowatt</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hours (kWh) of electricity,</a:t>
          </a:r>
          <a:r>
            <a:rPr lang="en-AU" sz="1100" b="0" i="0" baseline="0">
              <a:solidFill>
                <a:schemeClr val="dk1"/>
              </a:solidFill>
              <a:effectLst/>
              <a:latin typeface="+mn-lt"/>
              <a:ea typeface="+mn-ea"/>
              <a:cs typeface="+mn-cs"/>
            </a:rPr>
            <a:t> allowing for efficiency losses for </a:t>
          </a:r>
          <a:r>
            <a:rPr lang="en-AU" sz="1100" b="0" i="0">
              <a:solidFill>
                <a:schemeClr val="dk1"/>
              </a:solidFill>
              <a:effectLst/>
              <a:latin typeface="+mn-lt"/>
              <a:ea typeface="+mn-ea"/>
              <a:cs typeface="+mn-cs"/>
            </a:rPr>
            <a:t>pumps (70% efficient), drive train (95% efficient) and electric motor (90% efficient).</a:t>
          </a:r>
          <a:endParaRPr lang="en-AU" sz="1200">
            <a:effectLst/>
          </a:endParaRPr>
        </a:p>
        <a:p>
          <a:r>
            <a:rPr lang="en-AU" sz="1100" b="0" i="0">
              <a:solidFill>
                <a:schemeClr val="dk1"/>
              </a:solidFill>
              <a:effectLst/>
              <a:latin typeface="+mn-lt"/>
              <a:ea typeface="+mn-ea"/>
              <a:cs typeface="+mn-cs"/>
            </a:rPr>
            <a:t>* 1 ML lifted 1 metre of height requires 1.10 litres of diesel,</a:t>
          </a:r>
          <a:r>
            <a:rPr lang="en-AU" sz="1100">
              <a:solidFill>
                <a:schemeClr val="dk1"/>
              </a:solidFill>
              <a:effectLst/>
              <a:latin typeface="+mn-lt"/>
              <a:ea typeface="+mn-ea"/>
              <a:cs typeface="+mn-cs"/>
            </a:rPr>
            <a:t> </a:t>
          </a:r>
          <a:r>
            <a:rPr lang="en-AU" sz="1100" b="0" i="0" baseline="0">
              <a:solidFill>
                <a:schemeClr val="dk1"/>
              </a:solidFill>
              <a:effectLst/>
              <a:latin typeface="+mn-lt"/>
              <a:ea typeface="+mn-ea"/>
              <a:cs typeface="+mn-cs"/>
            </a:rPr>
            <a:t>allowing for efficiency losses for </a:t>
          </a:r>
          <a:r>
            <a:rPr lang="en-AU" sz="1100" b="0" i="0">
              <a:solidFill>
                <a:schemeClr val="dk1"/>
              </a:solidFill>
              <a:effectLst/>
              <a:latin typeface="+mn-lt"/>
              <a:ea typeface="+mn-ea"/>
              <a:cs typeface="+mn-cs"/>
            </a:rPr>
            <a:t>pumps (70% efficient), drive train (95% efficient) and diesel motor (35% efficient).</a:t>
          </a:r>
          <a:endParaRPr lang="en-AU" sz="1200">
            <a:effectLst/>
          </a:endParaRPr>
        </a:p>
        <a:p>
          <a:endParaRPr lang="en-AU" sz="1100" b="0" i="0">
            <a:solidFill>
              <a:schemeClr val="dk1"/>
            </a:solidFill>
            <a:effectLst/>
            <a:latin typeface="+mn-lt"/>
            <a:ea typeface="+mn-ea"/>
            <a:cs typeface="+mn-cs"/>
          </a:endParaRPr>
        </a:p>
        <a:p>
          <a:r>
            <a:rPr lang="en-AU" sz="1100" b="0" i="0">
              <a:solidFill>
                <a:schemeClr val="dk1"/>
              </a:solidFill>
              <a:effectLst/>
              <a:latin typeface="+mn-lt"/>
              <a:ea typeface="+mn-ea"/>
              <a:cs typeface="+mn-cs"/>
            </a:rPr>
            <a:t>Total Dynamic Head consists of 3 components added together:</a:t>
          </a:r>
          <a:endParaRPr lang="en-AU" sz="1200">
            <a:effectLst/>
          </a:endParaRPr>
        </a:p>
        <a:p>
          <a:r>
            <a:rPr lang="en-AU" sz="1100" b="0" i="0">
              <a:solidFill>
                <a:schemeClr val="dk1"/>
              </a:solidFill>
              <a:effectLst/>
              <a:latin typeface="+mn-lt"/>
              <a:ea typeface="+mn-ea"/>
              <a:cs typeface="+mn-cs"/>
            </a:rPr>
            <a:t>1. vertical height difference between the water supply level and the level the water is being pumped to (Static Lift, SL, or Static Head, SH).</a:t>
          </a:r>
          <a:endParaRPr lang="en-AU" sz="1200">
            <a:effectLst/>
          </a:endParaRPr>
        </a:p>
        <a:p>
          <a:r>
            <a:rPr lang="en-AU" sz="1100" b="0" i="0">
              <a:solidFill>
                <a:schemeClr val="dk1"/>
              </a:solidFill>
              <a:effectLst/>
              <a:latin typeface="+mn-lt"/>
              <a:ea typeface="+mn-ea"/>
              <a:cs typeface="+mn-cs"/>
            </a:rPr>
            <a:t>2. losses due to friction in pipes and fittings (Friction Head,</a:t>
          </a:r>
          <a:r>
            <a:rPr lang="en-AU" sz="1100" b="0" i="0" baseline="0">
              <a:solidFill>
                <a:schemeClr val="dk1"/>
              </a:solidFill>
              <a:effectLst/>
              <a:latin typeface="+mn-lt"/>
              <a:ea typeface="+mn-ea"/>
              <a:cs typeface="+mn-cs"/>
            </a:rPr>
            <a:t> FH).</a:t>
          </a:r>
        </a:p>
        <a:p>
          <a:r>
            <a:rPr lang="en-AU" sz="1100" b="0" i="0" baseline="0">
              <a:solidFill>
                <a:schemeClr val="dk1"/>
              </a:solidFill>
              <a:effectLst/>
              <a:latin typeface="+mn-lt"/>
              <a:ea typeface="+mn-ea"/>
              <a:cs typeface="+mn-cs"/>
            </a:rPr>
            <a:t>3. pressure at the emiiter (Pressure Head, PH).</a:t>
          </a:r>
          <a:endParaRPr lang="en-AU" sz="1200">
            <a:effectLst/>
          </a:endParaRPr>
        </a:p>
        <a:p>
          <a:endParaRPr lang="en-AU" sz="1100" b="1" i="0">
            <a:solidFill>
              <a:schemeClr val="dk1"/>
            </a:solidFill>
            <a:effectLst/>
            <a:latin typeface="+mn-lt"/>
            <a:ea typeface="+mn-ea"/>
            <a:cs typeface="+mn-cs"/>
          </a:endParaRPr>
        </a:p>
        <a:p>
          <a:r>
            <a:rPr lang="en-AU" sz="1100" b="1" i="0">
              <a:solidFill>
                <a:schemeClr val="dk1"/>
              </a:solidFill>
              <a:effectLst/>
              <a:latin typeface="+mn-lt"/>
              <a:ea typeface="+mn-ea"/>
              <a:cs typeface="+mn-cs"/>
            </a:rPr>
            <a:t>Further</a:t>
          </a:r>
          <a:r>
            <a:rPr lang="en-AU" sz="1100" b="1" i="0" baseline="0">
              <a:solidFill>
                <a:schemeClr val="dk1"/>
              </a:solidFill>
              <a:effectLst/>
              <a:latin typeface="+mn-lt"/>
              <a:ea typeface="+mn-ea"/>
              <a:cs typeface="+mn-cs"/>
            </a:rPr>
            <a:t> reading</a:t>
          </a:r>
          <a:endParaRPr lang="en-AU" sz="1100">
            <a:solidFill>
              <a:schemeClr val="dk1"/>
            </a:solidFill>
            <a:effectLst/>
            <a:latin typeface="+mn-lt"/>
            <a:ea typeface="+mn-ea"/>
            <a:cs typeface="+mn-cs"/>
          </a:endParaRPr>
        </a:p>
        <a:p>
          <a:endParaRPr lang="en-AU" sz="1100" b="0" i="0" u="sng">
            <a:solidFill>
              <a:schemeClr val="accent5">
                <a:lumMod val="75000"/>
              </a:schemeClr>
            </a:solidFill>
            <a:effectLst/>
            <a:latin typeface="+mn-lt"/>
            <a:ea typeface="+mn-ea"/>
            <a:cs typeface="+mn-cs"/>
          </a:endParaRPr>
        </a:p>
        <a:p>
          <a:endParaRPr lang="en-AU" sz="1100" u="sng">
            <a:solidFill>
              <a:schemeClr val="accent5">
                <a:lumMod val="75000"/>
              </a:schemeClr>
            </a:solidFill>
            <a:effectLst/>
            <a:latin typeface="+mn-lt"/>
            <a:ea typeface="+mn-ea"/>
            <a:cs typeface="+mn-cs"/>
          </a:endParaRPr>
        </a:p>
        <a:p>
          <a:endParaRPr lang="en-AU" sz="1100" u="sng">
            <a:solidFill>
              <a:schemeClr val="accent5">
                <a:lumMod val="75000"/>
              </a:schemeClr>
            </a:solidFill>
            <a:effectLst/>
            <a:latin typeface="+mn-lt"/>
            <a:ea typeface="+mn-ea"/>
            <a:cs typeface="+mn-cs"/>
          </a:endParaRPr>
        </a:p>
        <a:p>
          <a:endParaRPr lang="en-AU" sz="1100" u="sng">
            <a:solidFill>
              <a:schemeClr val="accent5">
                <a:lumMod val="75000"/>
              </a:schemeClr>
            </a:solidFill>
            <a:effectLst/>
            <a:latin typeface="+mn-lt"/>
            <a:ea typeface="+mn-ea"/>
            <a:cs typeface="+mn-cs"/>
          </a:endParaRPr>
        </a:p>
        <a:p>
          <a:endParaRPr lang="en-AU" sz="1100" b="1"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1" i="0">
              <a:solidFill>
                <a:schemeClr val="dk1"/>
              </a:solidFill>
              <a:effectLst/>
              <a:latin typeface="+mn-lt"/>
              <a:ea typeface="+mn-ea"/>
              <a:cs typeface="+mn-cs"/>
            </a:rPr>
            <a:t>Acknowledgements</a:t>
          </a:r>
          <a:endParaRPr lang="en-AU">
            <a:effectLst/>
          </a:endParaRPr>
        </a:p>
        <a:p>
          <a:endParaRPr lang="en-AU" sz="1100" b="1" i="1">
            <a:solidFill>
              <a:schemeClr val="dk1"/>
            </a:solidFill>
            <a:effectLst/>
            <a:latin typeface="+mn-lt"/>
            <a:ea typeface="+mn-ea"/>
            <a:cs typeface="+mn-cs"/>
          </a:endParaRPr>
        </a:p>
        <a:p>
          <a:endParaRPr lang="en-AU" sz="1100" b="1" i="1">
            <a:solidFill>
              <a:schemeClr val="dk1"/>
            </a:solidFill>
            <a:effectLst/>
            <a:latin typeface="+mn-lt"/>
            <a:ea typeface="+mn-ea"/>
            <a:cs typeface="+mn-cs"/>
          </a:endParaRPr>
        </a:p>
        <a:p>
          <a:endParaRPr lang="en-AU" sz="1100" b="1" i="1">
            <a:solidFill>
              <a:schemeClr val="dk1"/>
            </a:solidFill>
            <a:effectLst/>
            <a:latin typeface="+mn-lt"/>
            <a:ea typeface="+mn-ea"/>
            <a:cs typeface="+mn-cs"/>
          </a:endParaRPr>
        </a:p>
        <a:p>
          <a:endParaRPr lang="en-AU" sz="1100" b="1" i="1">
            <a:solidFill>
              <a:schemeClr val="dk1"/>
            </a:solidFill>
            <a:effectLst/>
            <a:latin typeface="+mn-lt"/>
            <a:ea typeface="+mn-ea"/>
            <a:cs typeface="+mn-cs"/>
          </a:endParaRPr>
        </a:p>
        <a:p>
          <a:r>
            <a:rPr lang="en-AU" sz="1100" b="1" i="1">
              <a:solidFill>
                <a:schemeClr val="dk1"/>
              </a:solidFill>
              <a:effectLst/>
              <a:latin typeface="+mn-lt"/>
              <a:ea typeface="+mn-ea"/>
              <a:cs typeface="+mn-cs"/>
            </a:rPr>
            <a:t>Disclaimer</a:t>
          </a:r>
          <a:endParaRPr lang="en-AU" sz="1100">
            <a:solidFill>
              <a:schemeClr val="dk1"/>
            </a:solidFill>
            <a:effectLst/>
            <a:latin typeface="+mn-lt"/>
            <a:ea typeface="+mn-ea"/>
            <a:cs typeface="+mn-cs"/>
          </a:endParaRPr>
        </a:p>
        <a:p>
          <a:r>
            <a:rPr lang="en-AU" sz="1100" i="1">
              <a:solidFill>
                <a:schemeClr val="dk1"/>
              </a:solidFill>
              <a:effectLst/>
              <a:latin typeface="+mn-lt"/>
              <a:ea typeface="+mn-ea"/>
              <a:cs typeface="+mn-cs"/>
            </a:rPr>
            <a:t>This tool is provided for information purposes only. Because user input is required, no claim is made as to the accuracy and no guarantee is given that it is without flaws of any kind or is wholly appropriate for your particular purposes. The NSW and Victorian Governments and their agencies (Department of Primary Industries and Jobs, Precincts and Regions) do not accept any liability to any person for the information or advice (or the use of such information or advice) which is provided.</a:t>
          </a:r>
          <a:endParaRPr lang="en-AU" sz="1100">
            <a:solidFill>
              <a:schemeClr val="dk1"/>
            </a:solidFill>
            <a:effectLst/>
            <a:latin typeface="+mn-lt"/>
            <a:ea typeface="+mn-ea"/>
            <a:cs typeface="+mn-cs"/>
          </a:endParaRPr>
        </a:p>
        <a:p>
          <a:endParaRPr lang="en-AU" sz="1100">
            <a:solidFill>
              <a:schemeClr val="dk1"/>
            </a:solidFill>
            <a:effectLst/>
            <a:latin typeface="+mn-lt"/>
            <a:ea typeface="+mn-ea"/>
            <a:cs typeface="+mn-cs"/>
          </a:endParaRPr>
        </a:p>
      </xdr:txBody>
    </xdr:sp>
    <xdr:clientData/>
  </xdr:twoCellAnchor>
  <xdr:twoCellAnchor>
    <xdr:from>
      <xdr:col>0</xdr:col>
      <xdr:colOff>285749</xdr:colOff>
      <xdr:row>27</xdr:row>
      <xdr:rowOff>82374</xdr:rowOff>
    </xdr:from>
    <xdr:to>
      <xdr:col>1</xdr:col>
      <xdr:colOff>285750</xdr:colOff>
      <xdr:row>28</xdr:row>
      <xdr:rowOff>129999</xdr:rowOff>
    </xdr:to>
    <xdr:grpSp>
      <xdr:nvGrpSpPr>
        <xdr:cNvPr id="3" name="Group 2">
          <a:extLst>
            <a:ext uri="{FF2B5EF4-FFF2-40B4-BE49-F238E27FC236}">
              <a16:creationId xmlns:a16="http://schemas.microsoft.com/office/drawing/2014/main" id="{A0310936-66DA-44B8-9634-9B57761160D1}"/>
            </a:ext>
          </a:extLst>
        </xdr:cNvPr>
        <xdr:cNvGrpSpPr/>
      </xdr:nvGrpSpPr>
      <xdr:grpSpPr>
        <a:xfrm>
          <a:off x="285749" y="5235399"/>
          <a:ext cx="609601" cy="238125"/>
          <a:chOff x="571500" y="1933575"/>
          <a:chExt cx="619125" cy="247650"/>
        </a:xfrm>
      </xdr:grpSpPr>
      <xdr:sp macro="" textlink="">
        <xdr:nvSpPr>
          <xdr:cNvPr id="4" name="Rectangle 3">
            <a:extLst>
              <a:ext uri="{FF2B5EF4-FFF2-40B4-BE49-F238E27FC236}">
                <a16:creationId xmlns:a16="http://schemas.microsoft.com/office/drawing/2014/main" id="{76537434-EFFD-4032-A534-041444C55BD3}"/>
              </a:ext>
            </a:extLst>
          </xdr:cNvPr>
          <xdr:cNvSpPr/>
        </xdr:nvSpPr>
        <xdr:spPr>
          <a:xfrm>
            <a:off x="571500" y="1933575"/>
            <a:ext cx="619124" cy="247650"/>
          </a:xfrm>
          <a:prstGeom prst="rect">
            <a:avLst/>
          </a:prstGeom>
          <a:solidFill>
            <a:schemeClr val="accent5">
              <a:lumMod val="20000"/>
              <a:lumOff val="80000"/>
            </a:schemeClr>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5" name="Right Triangle 4">
            <a:extLst>
              <a:ext uri="{FF2B5EF4-FFF2-40B4-BE49-F238E27FC236}">
                <a16:creationId xmlns:a16="http://schemas.microsoft.com/office/drawing/2014/main" id="{BF4550F3-7209-4B26-9EE6-7A25E939621D}"/>
              </a:ext>
            </a:extLst>
          </xdr:cNvPr>
          <xdr:cNvSpPr/>
        </xdr:nvSpPr>
        <xdr:spPr>
          <a:xfrm rot="10800000">
            <a:off x="1076325" y="1933575"/>
            <a:ext cx="114300" cy="123825"/>
          </a:xfrm>
          <a:prstGeom prst="rtTriangle">
            <a:avLst/>
          </a:prstGeom>
          <a:solidFill>
            <a:srgbClr val="FF0000"/>
          </a:solidFill>
          <a:ln>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0</xdr:col>
      <xdr:colOff>285749</xdr:colOff>
      <xdr:row>31</xdr:row>
      <xdr:rowOff>156891</xdr:rowOff>
    </xdr:from>
    <xdr:to>
      <xdr:col>1</xdr:col>
      <xdr:colOff>295273</xdr:colOff>
      <xdr:row>33</xdr:row>
      <xdr:rowOff>23541</xdr:rowOff>
    </xdr:to>
    <xdr:sp macro="" textlink="">
      <xdr:nvSpPr>
        <xdr:cNvPr id="6" name="Rectangle 5">
          <a:extLst>
            <a:ext uri="{FF2B5EF4-FFF2-40B4-BE49-F238E27FC236}">
              <a16:creationId xmlns:a16="http://schemas.microsoft.com/office/drawing/2014/main" id="{AAB1EED3-1381-4B82-ACBF-926CBB0B3564}"/>
            </a:ext>
          </a:extLst>
        </xdr:cNvPr>
        <xdr:cNvSpPr/>
      </xdr:nvSpPr>
      <xdr:spPr>
        <a:xfrm>
          <a:off x="285749" y="6071916"/>
          <a:ext cx="619124" cy="247650"/>
        </a:xfrm>
        <a:prstGeom prst="rect">
          <a:avLst/>
        </a:prstGeom>
        <a:solidFill>
          <a:srgbClr val="FFAF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AU" sz="900">
              <a:solidFill>
                <a:schemeClr val="tx1"/>
              </a:solidFill>
            </a:rPr>
            <a:t>Warning!!</a:t>
          </a:r>
        </a:p>
      </xdr:txBody>
    </xdr:sp>
    <xdr:clientData/>
  </xdr:twoCellAnchor>
  <xdr:twoCellAnchor>
    <xdr:from>
      <xdr:col>0</xdr:col>
      <xdr:colOff>285749</xdr:colOff>
      <xdr:row>33</xdr:row>
      <xdr:rowOff>156322</xdr:rowOff>
    </xdr:from>
    <xdr:to>
      <xdr:col>1</xdr:col>
      <xdr:colOff>295273</xdr:colOff>
      <xdr:row>35</xdr:row>
      <xdr:rowOff>22972</xdr:rowOff>
    </xdr:to>
    <xdr:sp macro="" textlink="">
      <xdr:nvSpPr>
        <xdr:cNvPr id="7" name="Rectangle 6">
          <a:extLst>
            <a:ext uri="{FF2B5EF4-FFF2-40B4-BE49-F238E27FC236}">
              <a16:creationId xmlns:a16="http://schemas.microsoft.com/office/drawing/2014/main" id="{511C8759-6182-4939-B5E9-D0465732E075}"/>
            </a:ext>
          </a:extLst>
        </xdr:cNvPr>
        <xdr:cNvSpPr/>
      </xdr:nvSpPr>
      <xdr:spPr>
        <a:xfrm>
          <a:off x="285749" y="6452347"/>
          <a:ext cx="619124" cy="247650"/>
        </a:xfrm>
        <a:prstGeom prst="rect">
          <a:avLst/>
        </a:prstGeom>
        <a:solidFill>
          <a:srgbClr val="FFEB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AU" sz="900">
              <a:solidFill>
                <a:schemeClr val="tx1"/>
              </a:solidFill>
            </a:rPr>
            <a:t>^Note:</a:t>
          </a:r>
        </a:p>
      </xdr:txBody>
    </xdr:sp>
    <xdr:clientData/>
  </xdr:twoCellAnchor>
  <xdr:twoCellAnchor>
    <xdr:from>
      <xdr:col>0</xdr:col>
      <xdr:colOff>285749</xdr:colOff>
      <xdr:row>35</xdr:row>
      <xdr:rowOff>146240</xdr:rowOff>
    </xdr:from>
    <xdr:to>
      <xdr:col>1</xdr:col>
      <xdr:colOff>295273</xdr:colOff>
      <xdr:row>37</xdr:row>
      <xdr:rowOff>12890</xdr:rowOff>
    </xdr:to>
    <xdr:sp macro="" textlink="">
      <xdr:nvSpPr>
        <xdr:cNvPr id="8" name="Rectangle 7">
          <a:extLst>
            <a:ext uri="{FF2B5EF4-FFF2-40B4-BE49-F238E27FC236}">
              <a16:creationId xmlns:a16="http://schemas.microsoft.com/office/drawing/2014/main" id="{6BC01F1B-42D3-47A9-9BC2-3CE67C0E1848}"/>
            </a:ext>
          </a:extLst>
        </xdr:cNvPr>
        <xdr:cNvSpPr/>
      </xdr:nvSpPr>
      <xdr:spPr>
        <a:xfrm>
          <a:off x="285749" y="6823265"/>
          <a:ext cx="619124" cy="24765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AU" sz="900">
              <a:solidFill>
                <a:srgbClr val="006100"/>
              </a:solidFill>
            </a:rPr>
            <a:t>Good</a:t>
          </a:r>
        </a:p>
      </xdr:txBody>
    </xdr:sp>
    <xdr:clientData/>
  </xdr:twoCellAnchor>
  <xdr:twoCellAnchor>
    <xdr:from>
      <xdr:col>0</xdr:col>
      <xdr:colOff>285749</xdr:colOff>
      <xdr:row>25</xdr:row>
      <xdr:rowOff>24660</xdr:rowOff>
    </xdr:from>
    <xdr:to>
      <xdr:col>1</xdr:col>
      <xdr:colOff>285749</xdr:colOff>
      <xdr:row>26</xdr:row>
      <xdr:rowOff>72285</xdr:rowOff>
    </xdr:to>
    <xdr:sp macro="" textlink="">
      <xdr:nvSpPr>
        <xdr:cNvPr id="9" name="Rectangle 8">
          <a:extLst>
            <a:ext uri="{FF2B5EF4-FFF2-40B4-BE49-F238E27FC236}">
              <a16:creationId xmlns:a16="http://schemas.microsoft.com/office/drawing/2014/main" id="{6F60A3BB-4E6F-448F-B18F-87926F9881CE}"/>
            </a:ext>
          </a:extLst>
        </xdr:cNvPr>
        <xdr:cNvSpPr/>
      </xdr:nvSpPr>
      <xdr:spPr>
        <a:xfrm>
          <a:off x="285749" y="4796685"/>
          <a:ext cx="609600" cy="238125"/>
        </a:xfrm>
        <a:prstGeom prst="rect">
          <a:avLst/>
        </a:prstGeom>
        <a:solidFill>
          <a:srgbClr val="FF33CC"/>
        </a:solidFill>
        <a:ln>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solidFill>
                <a:schemeClr val="tx1"/>
              </a:solidFill>
            </a:rPr>
            <a:t>Help</a:t>
          </a:r>
        </a:p>
      </xdr:txBody>
    </xdr:sp>
    <xdr:clientData/>
  </xdr:twoCellAnchor>
  <xdr:twoCellAnchor>
    <xdr:from>
      <xdr:col>0</xdr:col>
      <xdr:colOff>285749</xdr:colOff>
      <xdr:row>23</xdr:row>
      <xdr:rowOff>820</xdr:rowOff>
    </xdr:from>
    <xdr:to>
      <xdr:col>1</xdr:col>
      <xdr:colOff>419098</xdr:colOff>
      <xdr:row>24</xdr:row>
      <xdr:rowOff>33680</xdr:rowOff>
    </xdr:to>
    <xdr:grpSp>
      <xdr:nvGrpSpPr>
        <xdr:cNvPr id="10" name="Group 9">
          <a:extLst>
            <a:ext uri="{FF2B5EF4-FFF2-40B4-BE49-F238E27FC236}">
              <a16:creationId xmlns:a16="http://schemas.microsoft.com/office/drawing/2014/main" id="{CA430608-2A47-4B1F-9156-A66B04C5C0C2}"/>
            </a:ext>
          </a:extLst>
        </xdr:cNvPr>
        <xdr:cNvGrpSpPr/>
      </xdr:nvGrpSpPr>
      <xdr:grpSpPr>
        <a:xfrm>
          <a:off x="285749" y="4391845"/>
          <a:ext cx="742949" cy="223360"/>
          <a:chOff x="9190265" y="2302328"/>
          <a:chExt cx="742949" cy="238125"/>
        </a:xfrm>
      </xdr:grpSpPr>
      <xdr:sp macro="" textlink="">
        <xdr:nvSpPr>
          <xdr:cNvPr id="11" name="Rectangle 10">
            <a:extLst>
              <a:ext uri="{FF2B5EF4-FFF2-40B4-BE49-F238E27FC236}">
                <a16:creationId xmlns:a16="http://schemas.microsoft.com/office/drawing/2014/main" id="{64DA8DE5-0C24-42AF-BB6E-0EB67DEF44C1}"/>
              </a:ext>
            </a:extLst>
          </xdr:cNvPr>
          <xdr:cNvSpPr/>
        </xdr:nvSpPr>
        <xdr:spPr>
          <a:xfrm>
            <a:off x="9190265" y="2302328"/>
            <a:ext cx="609600" cy="238125"/>
          </a:xfrm>
          <a:prstGeom prst="rect">
            <a:avLst/>
          </a:prstGeom>
          <a:solidFill>
            <a:schemeClr val="accent1">
              <a:lumMod val="60000"/>
              <a:lumOff val="40000"/>
            </a:schemeClr>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2" name="Rectangle 11">
            <a:extLst>
              <a:ext uri="{FF2B5EF4-FFF2-40B4-BE49-F238E27FC236}">
                <a16:creationId xmlns:a16="http://schemas.microsoft.com/office/drawing/2014/main" id="{1D22A35B-120F-4704-99BF-6B1BDDAFC34B}"/>
              </a:ext>
            </a:extLst>
          </xdr:cNvPr>
          <xdr:cNvSpPr/>
        </xdr:nvSpPr>
        <xdr:spPr>
          <a:xfrm>
            <a:off x="9802586" y="2302329"/>
            <a:ext cx="130628" cy="114300"/>
          </a:xfrm>
          <a:prstGeom prst="rect">
            <a:avLst/>
          </a:prstGeom>
          <a:solidFill>
            <a:schemeClr val="bg1">
              <a:lumMod val="85000"/>
            </a:schemeClr>
          </a:solidFill>
          <a:ln>
            <a:solidFill>
              <a:schemeClr val="accent1"/>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AU" sz="1100"/>
          </a:p>
        </xdr:txBody>
      </xdr:sp>
      <xdr:sp macro="" textlink="">
        <xdr:nvSpPr>
          <xdr:cNvPr id="13" name="Isosceles Triangle 12">
            <a:extLst>
              <a:ext uri="{FF2B5EF4-FFF2-40B4-BE49-F238E27FC236}">
                <a16:creationId xmlns:a16="http://schemas.microsoft.com/office/drawing/2014/main" id="{10829F30-14BF-431B-8CAC-EB02B5FEB06B}"/>
              </a:ext>
            </a:extLst>
          </xdr:cNvPr>
          <xdr:cNvSpPr/>
        </xdr:nvSpPr>
        <xdr:spPr>
          <a:xfrm rot="10800000">
            <a:off x="9840686" y="2329543"/>
            <a:ext cx="45719" cy="45719"/>
          </a:xfrm>
          <a:prstGeom prs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0</xdr:col>
      <xdr:colOff>285749</xdr:colOff>
      <xdr:row>20</xdr:row>
      <xdr:rowOff>150116</xdr:rowOff>
    </xdr:from>
    <xdr:to>
      <xdr:col>1</xdr:col>
      <xdr:colOff>286012</xdr:colOff>
      <xdr:row>22</xdr:row>
      <xdr:rowOff>3682</xdr:rowOff>
    </xdr:to>
    <xdr:sp macro="" textlink="">
      <xdr:nvSpPr>
        <xdr:cNvPr id="14" name="Rectangle 13">
          <a:extLst>
            <a:ext uri="{FF2B5EF4-FFF2-40B4-BE49-F238E27FC236}">
              <a16:creationId xmlns:a16="http://schemas.microsoft.com/office/drawing/2014/main" id="{4C78FBA7-4AE2-4F0B-AE57-E9181EB9729D}"/>
            </a:ext>
          </a:extLst>
        </xdr:cNvPr>
        <xdr:cNvSpPr/>
      </xdr:nvSpPr>
      <xdr:spPr>
        <a:xfrm>
          <a:off x="285749" y="3969641"/>
          <a:ext cx="609863" cy="234566"/>
        </a:xfrm>
        <a:prstGeom prst="rect">
          <a:avLst/>
        </a:prstGeom>
        <a:solidFill>
          <a:schemeClr val="accent1">
            <a:lumMod val="20000"/>
            <a:lumOff val="80000"/>
          </a:schemeClr>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10</xdr:col>
      <xdr:colOff>504825</xdr:colOff>
      <xdr:row>2</xdr:row>
      <xdr:rowOff>47625</xdr:rowOff>
    </xdr:from>
    <xdr:to>
      <xdr:col>13</xdr:col>
      <xdr:colOff>438150</xdr:colOff>
      <xdr:row>5</xdr:row>
      <xdr:rowOff>28575</xdr:rowOff>
    </xdr:to>
    <xdr:pic>
      <xdr:nvPicPr>
        <xdr:cNvPr id="15" name="Picture 14">
          <a:extLst>
            <a:ext uri="{FF2B5EF4-FFF2-40B4-BE49-F238E27FC236}">
              <a16:creationId xmlns:a16="http://schemas.microsoft.com/office/drawing/2014/main" id="{6646D02C-E18E-423C-962F-40C567CF579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600825" y="428625"/>
          <a:ext cx="1762125" cy="5524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14</xdr:col>
      <xdr:colOff>104775</xdr:colOff>
      <xdr:row>1</xdr:row>
      <xdr:rowOff>62524</xdr:rowOff>
    </xdr:from>
    <xdr:to>
      <xdr:col>15</xdr:col>
      <xdr:colOff>563096</xdr:colOff>
      <xdr:row>5</xdr:row>
      <xdr:rowOff>58867</xdr:rowOff>
    </xdr:to>
    <xdr:pic>
      <xdr:nvPicPr>
        <xdr:cNvPr id="16" name="Picture 15" descr="GBCMA">
          <a:extLst>
            <a:ext uri="{FF2B5EF4-FFF2-40B4-BE49-F238E27FC236}">
              <a16:creationId xmlns:a16="http://schemas.microsoft.com/office/drawing/2014/main" id="{A108BF0E-E8CD-47AE-8336-C91388BC8F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8639175" y="253024"/>
          <a:ext cx="1067921" cy="758343"/>
        </a:xfrm>
        <a:prstGeom prst="rect">
          <a:avLst/>
        </a:prstGeom>
        <a:noFill/>
        <a:ln>
          <a:noFill/>
        </a:ln>
        <a:effectLst/>
      </xdr:spPr>
    </xdr:pic>
    <xdr:clientData/>
  </xdr:twoCellAnchor>
  <xdr:twoCellAnchor editAs="oneCell">
    <xdr:from>
      <xdr:col>0</xdr:col>
      <xdr:colOff>176493</xdr:colOff>
      <xdr:row>85</xdr:row>
      <xdr:rowOff>107533</xdr:rowOff>
    </xdr:from>
    <xdr:to>
      <xdr:col>3</xdr:col>
      <xdr:colOff>243280</xdr:colOff>
      <xdr:row>89</xdr:row>
      <xdr:rowOff>10379</xdr:rowOff>
    </xdr:to>
    <xdr:pic>
      <xdr:nvPicPr>
        <xdr:cNvPr id="17" name="Picture 16">
          <a:extLst>
            <a:ext uri="{FF2B5EF4-FFF2-40B4-BE49-F238E27FC236}">
              <a16:creationId xmlns:a16="http://schemas.microsoft.com/office/drawing/2014/main" id="{739C48A8-61BE-4945-8E3F-A91AAC3DB7A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6493" y="16309558"/>
          <a:ext cx="1895587" cy="664846"/>
        </a:xfrm>
        <a:prstGeom prst="rect">
          <a:avLst/>
        </a:prstGeom>
      </xdr:spPr>
    </xdr:pic>
    <xdr:clientData/>
  </xdr:twoCellAnchor>
  <xdr:twoCellAnchor editAs="oneCell">
    <xdr:from>
      <xdr:col>6</xdr:col>
      <xdr:colOff>552450</xdr:colOff>
      <xdr:row>1</xdr:row>
      <xdr:rowOff>38100</xdr:rowOff>
    </xdr:from>
    <xdr:to>
      <xdr:col>10</xdr:col>
      <xdr:colOff>438150</xdr:colOff>
      <xdr:row>5</xdr:row>
      <xdr:rowOff>107539</xdr:rowOff>
    </xdr:to>
    <xdr:pic>
      <xdr:nvPicPr>
        <xdr:cNvPr id="18" name="Picture 17">
          <a:extLst>
            <a:ext uri="{FF2B5EF4-FFF2-40B4-BE49-F238E27FC236}">
              <a16:creationId xmlns:a16="http://schemas.microsoft.com/office/drawing/2014/main" id="{AA57EB6D-63CB-470B-8261-81C95B8EE3E2}"/>
            </a:ext>
          </a:extLst>
        </xdr:cNvPr>
        <xdr:cNvPicPr>
          <a:picLocks noChangeAspect="1"/>
        </xdr:cNvPicPr>
      </xdr:nvPicPr>
      <xdr:blipFill>
        <a:blip xmlns:r="http://schemas.openxmlformats.org/officeDocument/2006/relationships" r:embed="rId4"/>
        <a:stretch>
          <a:fillRect/>
        </a:stretch>
      </xdr:blipFill>
      <xdr:spPr>
        <a:xfrm>
          <a:off x="4210050" y="228600"/>
          <a:ext cx="2324100" cy="831439"/>
        </a:xfrm>
        <a:prstGeom prst="rect">
          <a:avLst/>
        </a:prstGeom>
      </xdr:spPr>
    </xdr:pic>
    <xdr:clientData/>
  </xdr:twoCellAnchor>
  <xdr:twoCellAnchor>
    <xdr:from>
      <xdr:col>0</xdr:col>
      <xdr:colOff>285749</xdr:colOff>
      <xdr:row>29</xdr:row>
      <xdr:rowOff>161923</xdr:rowOff>
    </xdr:from>
    <xdr:to>
      <xdr:col>1</xdr:col>
      <xdr:colOff>380998</xdr:colOff>
      <xdr:row>31</xdr:row>
      <xdr:rowOff>29108</xdr:rowOff>
    </xdr:to>
    <xdr:sp macro="" textlink="">
      <xdr:nvSpPr>
        <xdr:cNvPr id="19" name="Rectangle 18">
          <a:extLst>
            <a:ext uri="{FF2B5EF4-FFF2-40B4-BE49-F238E27FC236}">
              <a16:creationId xmlns:a16="http://schemas.microsoft.com/office/drawing/2014/main" id="{9EFD4761-3001-47B9-AE9D-F08949DC6CEF}"/>
            </a:ext>
          </a:extLst>
        </xdr:cNvPr>
        <xdr:cNvSpPr/>
      </xdr:nvSpPr>
      <xdr:spPr>
        <a:xfrm>
          <a:off x="285749" y="5695948"/>
          <a:ext cx="704849" cy="248185"/>
        </a:xfrm>
        <a:prstGeom prst="rect">
          <a:avLst/>
        </a:prstGeom>
        <a:solidFill>
          <a:schemeClr val="accent4">
            <a:lumMod val="20000"/>
            <a:lumOff val="80000"/>
          </a:schemeClr>
        </a:solidFill>
        <a:ln>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AU" sz="1100">
              <a:solidFill>
                <a:srgbClr val="FF0000"/>
              </a:solidFill>
            </a:rPr>
            <a:t>red text</a:t>
          </a:r>
        </a:p>
      </xdr:txBody>
    </xdr:sp>
    <xdr:clientData/>
  </xdr:twoCellAnchor>
  <xdr:twoCellAnchor>
    <xdr:from>
      <xdr:col>0</xdr:col>
      <xdr:colOff>171450</xdr:colOff>
      <xdr:row>71</xdr:row>
      <xdr:rowOff>0</xdr:rowOff>
    </xdr:from>
    <xdr:to>
      <xdr:col>5</xdr:col>
      <xdr:colOff>419100</xdr:colOff>
      <xdr:row>72</xdr:row>
      <xdr:rowOff>114300</xdr:rowOff>
    </xdr:to>
    <xdr:sp macro="" textlink="">
      <xdr:nvSpPr>
        <xdr:cNvPr id="20" name="TextBox 19">
          <a:hlinkClick xmlns:r="http://schemas.openxmlformats.org/officeDocument/2006/relationships" r:id="rId5"/>
          <a:extLst>
            <a:ext uri="{FF2B5EF4-FFF2-40B4-BE49-F238E27FC236}">
              <a16:creationId xmlns:a16="http://schemas.microsoft.com/office/drawing/2014/main" id="{6CC8E4B4-696D-47CE-99F2-930923307692}"/>
            </a:ext>
          </a:extLst>
        </xdr:cNvPr>
        <xdr:cNvSpPr txBox="1"/>
      </xdr:nvSpPr>
      <xdr:spPr>
        <a:xfrm>
          <a:off x="171450" y="13535025"/>
          <a:ext cx="32956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u="sng">
              <a:solidFill>
                <a:schemeClr val="accent5">
                  <a:lumMod val="75000"/>
                </a:schemeClr>
              </a:solidFill>
              <a:effectLst/>
              <a:latin typeface="+mn-lt"/>
              <a:ea typeface="+mn-ea"/>
              <a:cs typeface="+mn-cs"/>
            </a:rPr>
            <a:t>- Fundamentals of energy use in water pumping</a:t>
          </a:r>
          <a:endParaRPr lang="en-AU" sz="1100">
            <a:solidFill>
              <a:schemeClr val="accent5">
                <a:lumMod val="75000"/>
              </a:schemeClr>
            </a:solidFill>
          </a:endParaRPr>
        </a:p>
      </xdr:txBody>
    </xdr:sp>
    <xdr:clientData/>
  </xdr:twoCellAnchor>
  <xdr:twoCellAnchor>
    <xdr:from>
      <xdr:col>0</xdr:col>
      <xdr:colOff>180974</xdr:colOff>
      <xdr:row>72</xdr:row>
      <xdr:rowOff>28573</xdr:rowOff>
    </xdr:from>
    <xdr:to>
      <xdr:col>5</xdr:col>
      <xdr:colOff>428624</xdr:colOff>
      <xdr:row>73</xdr:row>
      <xdr:rowOff>142873</xdr:rowOff>
    </xdr:to>
    <xdr:sp macro="" textlink="">
      <xdr:nvSpPr>
        <xdr:cNvPr id="23" name="TextBox 22">
          <a:hlinkClick xmlns:r="http://schemas.openxmlformats.org/officeDocument/2006/relationships" r:id="rId6"/>
          <a:extLst>
            <a:ext uri="{FF2B5EF4-FFF2-40B4-BE49-F238E27FC236}">
              <a16:creationId xmlns:a16="http://schemas.microsoft.com/office/drawing/2014/main" id="{22B3C4AB-4E41-436F-91C0-44B828082A44}"/>
            </a:ext>
          </a:extLst>
        </xdr:cNvPr>
        <xdr:cNvSpPr txBox="1"/>
      </xdr:nvSpPr>
      <xdr:spPr>
        <a:xfrm>
          <a:off x="180974" y="13754098"/>
          <a:ext cx="32956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AU" sz="1100" b="0" i="0" u="sng">
              <a:solidFill>
                <a:schemeClr val="accent5">
                  <a:lumMod val="75000"/>
                </a:schemeClr>
              </a:solidFill>
              <a:effectLst/>
              <a:latin typeface="+mn-lt"/>
              <a:ea typeface="+mn-ea"/>
              <a:cs typeface="+mn-cs"/>
            </a:rPr>
            <a:t>- Energy use efficiency</a:t>
          </a:r>
          <a:endParaRPr lang="en-AU">
            <a:solidFill>
              <a:schemeClr val="accent5">
                <a:lumMod val="75000"/>
              </a:schemeClr>
            </a:solidFill>
            <a:effectLst/>
          </a:endParaRPr>
        </a:p>
      </xdr:txBody>
    </xdr:sp>
    <xdr:clientData/>
  </xdr:twoCellAnchor>
  <xdr:twoCellAnchor>
    <xdr:from>
      <xdr:col>0</xdr:col>
      <xdr:colOff>190499</xdr:colOff>
      <xdr:row>73</xdr:row>
      <xdr:rowOff>76198</xdr:rowOff>
    </xdr:from>
    <xdr:to>
      <xdr:col>5</xdr:col>
      <xdr:colOff>438149</xdr:colOff>
      <xdr:row>74</xdr:row>
      <xdr:rowOff>190498</xdr:rowOff>
    </xdr:to>
    <xdr:sp macro="" textlink="">
      <xdr:nvSpPr>
        <xdr:cNvPr id="24" name="TextBox 23">
          <a:hlinkClick xmlns:r="http://schemas.openxmlformats.org/officeDocument/2006/relationships" r:id="rId7"/>
          <a:extLst>
            <a:ext uri="{FF2B5EF4-FFF2-40B4-BE49-F238E27FC236}">
              <a16:creationId xmlns:a16="http://schemas.microsoft.com/office/drawing/2014/main" id="{E9F82144-59CC-4150-A32F-072598093FAA}"/>
            </a:ext>
          </a:extLst>
        </xdr:cNvPr>
        <xdr:cNvSpPr txBox="1"/>
      </xdr:nvSpPr>
      <xdr:spPr>
        <a:xfrm>
          <a:off x="190499" y="13992223"/>
          <a:ext cx="32956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u="sng">
              <a:solidFill>
                <a:schemeClr val="accent5">
                  <a:lumMod val="75000"/>
                </a:schemeClr>
              </a:solidFill>
              <a:effectLst/>
              <a:latin typeface="+mn-lt"/>
              <a:ea typeface="+mn-ea"/>
              <a:cs typeface="+mn-cs"/>
            </a:rPr>
            <a:t>- Reading your meter</a:t>
          </a:r>
          <a:endParaRPr lang="en-AU">
            <a:solidFill>
              <a:schemeClr val="accent5">
                <a:lumMod val="75000"/>
              </a:schemeClr>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292598</xdr:colOff>
      <xdr:row>13</xdr:row>
      <xdr:rowOff>152523</xdr:rowOff>
    </xdr:from>
    <xdr:to>
      <xdr:col>14</xdr:col>
      <xdr:colOff>485775</xdr:colOff>
      <xdr:row>24</xdr:row>
      <xdr:rowOff>66674</xdr:rowOff>
    </xdr:to>
    <xdr:graphicFrame macro="">
      <xdr:nvGraphicFramePr>
        <xdr:cNvPr id="2" name="Chart 7">
          <a:extLst>
            <a:ext uri="{FF2B5EF4-FFF2-40B4-BE49-F238E27FC236}">
              <a16:creationId xmlns:a16="http://schemas.microsoft.com/office/drawing/2014/main" id="{55195522-C4BF-41FC-BFC6-C36A00A25D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24</xdr:row>
      <xdr:rowOff>123825</xdr:rowOff>
    </xdr:from>
    <xdr:to>
      <xdr:col>14</xdr:col>
      <xdr:colOff>497898</xdr:colOff>
      <xdr:row>45</xdr:row>
      <xdr:rowOff>89647</xdr:rowOff>
    </xdr:to>
    <xdr:graphicFrame macro="">
      <xdr:nvGraphicFramePr>
        <xdr:cNvPr id="3" name="Chart 4">
          <a:extLst>
            <a:ext uri="{FF2B5EF4-FFF2-40B4-BE49-F238E27FC236}">
              <a16:creationId xmlns:a16="http://schemas.microsoft.com/office/drawing/2014/main" id="{2BE4209F-8032-4095-AA8D-CAFDFF5F2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21</xdr:col>
      <xdr:colOff>1345406</xdr:colOff>
      <xdr:row>37</xdr:row>
      <xdr:rowOff>130969</xdr:rowOff>
    </xdr:from>
    <xdr:to>
      <xdr:col>21</xdr:col>
      <xdr:colOff>1976438</xdr:colOff>
      <xdr:row>37</xdr:row>
      <xdr:rowOff>130969</xdr:rowOff>
    </xdr:to>
    <xdr:cxnSp macro="">
      <xdr:nvCxnSpPr>
        <xdr:cNvPr id="3" name="Straight Connector 2">
          <a:extLst>
            <a:ext uri="{FF2B5EF4-FFF2-40B4-BE49-F238E27FC236}">
              <a16:creationId xmlns:a16="http://schemas.microsoft.com/office/drawing/2014/main" id="{D822B54D-AFD5-49A2-8FE0-C2AA13FF6548}"/>
            </a:ext>
          </a:extLst>
        </xdr:cNvPr>
        <xdr:cNvCxnSpPr/>
      </xdr:nvCxnSpPr>
      <xdr:spPr>
        <a:xfrm>
          <a:off x="14642306" y="7312819"/>
          <a:ext cx="78582" cy="0"/>
        </a:xfrm>
        <a:prstGeom prst="line">
          <a:avLst/>
        </a:prstGeom>
        <a:ln w="28575">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295040</xdr:colOff>
      <xdr:row>5</xdr:row>
      <xdr:rowOff>151</xdr:rowOff>
    </xdr:from>
    <xdr:to>
      <xdr:col>25</xdr:col>
      <xdr:colOff>19049</xdr:colOff>
      <xdr:row>28</xdr:row>
      <xdr:rowOff>164155</xdr:rowOff>
    </xdr:to>
    <xdr:grpSp>
      <xdr:nvGrpSpPr>
        <xdr:cNvPr id="186" name="Group 185">
          <a:extLst>
            <a:ext uri="{FF2B5EF4-FFF2-40B4-BE49-F238E27FC236}">
              <a16:creationId xmlns:a16="http://schemas.microsoft.com/office/drawing/2014/main" id="{EB791CA6-582E-4860-B839-D70B713D452A}"/>
            </a:ext>
          </a:extLst>
        </xdr:cNvPr>
        <xdr:cNvGrpSpPr/>
      </xdr:nvGrpSpPr>
      <xdr:grpSpPr>
        <a:xfrm>
          <a:off x="4642922" y="515622"/>
          <a:ext cx="9450715" cy="4287768"/>
          <a:chOff x="3825274" y="2362530"/>
          <a:chExt cx="9147525" cy="3293287"/>
        </a:xfrm>
      </xdr:grpSpPr>
      <xdr:grpSp>
        <xdr:nvGrpSpPr>
          <xdr:cNvPr id="86" name="Group 85">
            <a:extLst>
              <a:ext uri="{FF2B5EF4-FFF2-40B4-BE49-F238E27FC236}">
                <a16:creationId xmlns:a16="http://schemas.microsoft.com/office/drawing/2014/main" id="{9BFD266D-32D6-47C8-B567-4B9616744C75}"/>
              </a:ext>
            </a:extLst>
          </xdr:cNvPr>
          <xdr:cNvGrpSpPr/>
        </xdr:nvGrpSpPr>
        <xdr:grpSpPr>
          <a:xfrm>
            <a:off x="3825274" y="2608325"/>
            <a:ext cx="8994622" cy="3047492"/>
            <a:chOff x="621307" y="2137884"/>
            <a:chExt cx="9772671" cy="2952673"/>
          </a:xfrm>
        </xdr:grpSpPr>
        <xdr:cxnSp macro="">
          <xdr:nvCxnSpPr>
            <xdr:cNvPr id="87" name="Straight Connector 86">
              <a:extLst>
                <a:ext uri="{FF2B5EF4-FFF2-40B4-BE49-F238E27FC236}">
                  <a16:creationId xmlns:a16="http://schemas.microsoft.com/office/drawing/2014/main" id="{5D4DAD97-B099-4B15-8B90-A38E55C2F3A5}"/>
                </a:ext>
              </a:extLst>
            </xdr:cNvPr>
            <xdr:cNvCxnSpPr>
              <a:cxnSpLocks/>
              <a:stCxn id="117" idx="0"/>
              <a:endCxn id="88" idx="2"/>
            </xdr:cNvCxnSpPr>
          </xdr:nvCxnSpPr>
          <xdr:spPr>
            <a:xfrm>
              <a:off x="8373144" y="2511050"/>
              <a:ext cx="210" cy="25532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8" name="Trapezoid 87">
              <a:extLst>
                <a:ext uri="{FF2B5EF4-FFF2-40B4-BE49-F238E27FC236}">
                  <a16:creationId xmlns:a16="http://schemas.microsoft.com/office/drawing/2014/main" id="{2AD06522-8AD6-4F03-ADF8-9739AC411C7E}"/>
                </a:ext>
              </a:extLst>
            </xdr:cNvPr>
            <xdr:cNvSpPr/>
          </xdr:nvSpPr>
          <xdr:spPr>
            <a:xfrm rot="10800000">
              <a:off x="8354492" y="2766370"/>
              <a:ext cx="37725" cy="78933"/>
            </a:xfrm>
            <a:prstGeom prst="trapezoid">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89" name="Trapezoid 88">
              <a:extLst>
                <a:ext uri="{FF2B5EF4-FFF2-40B4-BE49-F238E27FC236}">
                  <a16:creationId xmlns:a16="http://schemas.microsoft.com/office/drawing/2014/main" id="{EF25AC3E-7BAA-43BB-8374-2A70C45F4023}"/>
                </a:ext>
              </a:extLst>
            </xdr:cNvPr>
            <xdr:cNvSpPr/>
          </xdr:nvSpPr>
          <xdr:spPr>
            <a:xfrm>
              <a:off x="8353609" y="2797511"/>
              <a:ext cx="37725" cy="50117"/>
            </a:xfrm>
            <a:prstGeom prst="trapezoid">
              <a:avLst/>
            </a:prstGeom>
            <a:no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90" name="Trapezoid 89">
              <a:extLst>
                <a:ext uri="{FF2B5EF4-FFF2-40B4-BE49-F238E27FC236}">
                  <a16:creationId xmlns:a16="http://schemas.microsoft.com/office/drawing/2014/main" id="{88391A6E-617F-4E5C-946B-B7CF8868BBEB}"/>
                </a:ext>
              </a:extLst>
            </xdr:cNvPr>
            <xdr:cNvSpPr/>
          </xdr:nvSpPr>
          <xdr:spPr>
            <a:xfrm>
              <a:off x="8195501" y="2852860"/>
              <a:ext cx="353940" cy="285461"/>
            </a:xfrm>
            <a:prstGeom prst="trapezoid">
              <a:avLst>
                <a:gd name="adj" fmla="val 139559"/>
              </a:avLst>
            </a:prstGeom>
            <a:gradFill flip="none" rotWithShape="1">
              <a:gsLst>
                <a:gs pos="0">
                  <a:schemeClr val="accent5">
                    <a:lumMod val="75000"/>
                  </a:schemeClr>
                </a:gs>
                <a:gs pos="100000">
                  <a:srgbClr val="00B0F0"/>
                </a:gs>
                <a:gs pos="100000">
                  <a:schemeClr val="accent5">
                    <a:lumMod val="45000"/>
                    <a:lumOff val="55000"/>
                  </a:schemeClr>
                </a:gs>
                <a:gs pos="100000">
                  <a:schemeClr val="accent5">
                    <a:lumMod val="30000"/>
                    <a:lumOff val="7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91" name="Trapezoid 90">
              <a:extLst>
                <a:ext uri="{FF2B5EF4-FFF2-40B4-BE49-F238E27FC236}">
                  <a16:creationId xmlns:a16="http://schemas.microsoft.com/office/drawing/2014/main" id="{5B3B628E-0DFF-4985-BC11-F8D0D0AB82C0}"/>
                </a:ext>
              </a:extLst>
            </xdr:cNvPr>
            <xdr:cNvSpPr/>
          </xdr:nvSpPr>
          <xdr:spPr>
            <a:xfrm rot="10800000">
              <a:off x="670805" y="4571196"/>
              <a:ext cx="1365812" cy="472253"/>
            </a:xfrm>
            <a:prstGeom prst="trapezoid">
              <a:avLst>
                <a:gd name="adj" fmla="val 21476"/>
              </a:avLst>
            </a:prstGeom>
            <a:gradFill>
              <a:gsLst>
                <a:gs pos="0">
                  <a:schemeClr val="accent5">
                    <a:lumMod val="75000"/>
                  </a:schemeClr>
                </a:gs>
                <a:gs pos="100000">
                  <a:srgbClr val="00B0F0"/>
                </a:gs>
                <a:gs pos="100000">
                  <a:schemeClr val="accent5">
                    <a:lumMod val="45000"/>
                    <a:lumOff val="55000"/>
                  </a:schemeClr>
                </a:gs>
                <a:gs pos="100000">
                  <a:schemeClr val="accent5">
                    <a:lumMod val="30000"/>
                    <a:lumOff val="70000"/>
                  </a:schemeClr>
                </a:gs>
              </a:gsLst>
              <a:lin ang="5400000" scaled="1"/>
            </a:gra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92" name="Rectangle 91">
              <a:extLst>
                <a:ext uri="{FF2B5EF4-FFF2-40B4-BE49-F238E27FC236}">
                  <a16:creationId xmlns:a16="http://schemas.microsoft.com/office/drawing/2014/main" id="{DC01F021-6083-495C-A10F-070C48BBADD5}"/>
                </a:ext>
              </a:extLst>
            </xdr:cNvPr>
            <xdr:cNvSpPr/>
          </xdr:nvSpPr>
          <xdr:spPr>
            <a:xfrm>
              <a:off x="1928778" y="4298168"/>
              <a:ext cx="222169" cy="48354"/>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93" name="Rectangle 92">
              <a:extLst>
                <a:ext uri="{FF2B5EF4-FFF2-40B4-BE49-F238E27FC236}">
                  <a16:creationId xmlns:a16="http://schemas.microsoft.com/office/drawing/2014/main" id="{8F75527B-7AFD-44A4-9929-D950B7EF7E50}"/>
                </a:ext>
              </a:extLst>
            </xdr:cNvPr>
            <xdr:cNvSpPr/>
          </xdr:nvSpPr>
          <xdr:spPr>
            <a:xfrm rot="18308854">
              <a:off x="1420331" y="4525857"/>
              <a:ext cx="595414" cy="59442"/>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94" name="Rectangle 93">
              <a:extLst>
                <a:ext uri="{FF2B5EF4-FFF2-40B4-BE49-F238E27FC236}">
                  <a16:creationId xmlns:a16="http://schemas.microsoft.com/office/drawing/2014/main" id="{0531BBD7-58D6-4674-8CA9-3CD955EB2DEE}"/>
                </a:ext>
              </a:extLst>
            </xdr:cNvPr>
            <xdr:cNvSpPr/>
          </xdr:nvSpPr>
          <xdr:spPr>
            <a:xfrm rot="10800000">
              <a:off x="2213984" y="4109862"/>
              <a:ext cx="1075420" cy="44726"/>
            </a:xfrm>
            <a:prstGeom prst="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95" name="Freeform: Shape 94">
              <a:extLst>
                <a:ext uri="{FF2B5EF4-FFF2-40B4-BE49-F238E27FC236}">
                  <a16:creationId xmlns:a16="http://schemas.microsoft.com/office/drawing/2014/main" id="{96117887-8500-4898-A485-4768FBD20209}"/>
                </a:ext>
              </a:extLst>
            </xdr:cNvPr>
            <xdr:cNvSpPr/>
          </xdr:nvSpPr>
          <xdr:spPr>
            <a:xfrm>
              <a:off x="621307" y="3429130"/>
              <a:ext cx="9772671" cy="1661427"/>
            </a:xfrm>
            <a:custGeom>
              <a:avLst/>
              <a:gdLst>
                <a:gd name="connsiteX0" fmla="*/ 0 w 7512627"/>
                <a:gd name="connsiteY0" fmla="*/ 1356033 h 1366423"/>
                <a:gd name="connsiteX1" fmla="*/ 1558636 w 7512627"/>
                <a:gd name="connsiteY1" fmla="*/ 1366423 h 1366423"/>
                <a:gd name="connsiteX2" fmla="*/ 2088573 w 7512627"/>
                <a:gd name="connsiteY2" fmla="*/ 1304078 h 1366423"/>
                <a:gd name="connsiteX3" fmla="*/ 2753591 w 7512627"/>
                <a:gd name="connsiteY3" fmla="*/ 981960 h 1366423"/>
                <a:gd name="connsiteX4" fmla="*/ 3439391 w 7512627"/>
                <a:gd name="connsiteY4" fmla="*/ 296160 h 1366423"/>
                <a:gd name="connsiteX5" fmla="*/ 4572000 w 7512627"/>
                <a:gd name="connsiteY5" fmla="*/ 25996 h 1366423"/>
                <a:gd name="connsiteX6" fmla="*/ 7512627 w 7512627"/>
                <a:gd name="connsiteY6" fmla="*/ 25996 h 1366423"/>
                <a:gd name="connsiteX0" fmla="*/ 0 w 7512627"/>
                <a:gd name="connsiteY0" fmla="*/ 1356033 h 1356033"/>
                <a:gd name="connsiteX1" fmla="*/ 737754 w 7512627"/>
                <a:gd name="connsiteY1" fmla="*/ 1356033 h 1356033"/>
                <a:gd name="connsiteX2" fmla="*/ 2088573 w 7512627"/>
                <a:gd name="connsiteY2" fmla="*/ 1304078 h 1356033"/>
                <a:gd name="connsiteX3" fmla="*/ 2753591 w 7512627"/>
                <a:gd name="connsiteY3" fmla="*/ 981960 h 1356033"/>
                <a:gd name="connsiteX4" fmla="*/ 3439391 w 7512627"/>
                <a:gd name="connsiteY4" fmla="*/ 296160 h 1356033"/>
                <a:gd name="connsiteX5" fmla="*/ 4572000 w 7512627"/>
                <a:gd name="connsiteY5" fmla="*/ 25996 h 1356033"/>
                <a:gd name="connsiteX6" fmla="*/ 7512627 w 7512627"/>
                <a:gd name="connsiteY6" fmla="*/ 25996 h 1356033"/>
                <a:gd name="connsiteX0" fmla="*/ 0 w 7512627"/>
                <a:gd name="connsiteY0" fmla="*/ 1356033 h 1375875"/>
                <a:gd name="connsiteX1" fmla="*/ 737754 w 7512627"/>
                <a:gd name="connsiteY1" fmla="*/ 1356033 h 1375875"/>
                <a:gd name="connsiteX2" fmla="*/ 1652155 w 7512627"/>
                <a:gd name="connsiteY2" fmla="*/ 1345642 h 1375875"/>
                <a:gd name="connsiteX3" fmla="*/ 2753591 w 7512627"/>
                <a:gd name="connsiteY3" fmla="*/ 981960 h 1375875"/>
                <a:gd name="connsiteX4" fmla="*/ 3439391 w 7512627"/>
                <a:gd name="connsiteY4" fmla="*/ 296160 h 1375875"/>
                <a:gd name="connsiteX5" fmla="*/ 4572000 w 7512627"/>
                <a:gd name="connsiteY5" fmla="*/ 25996 h 1375875"/>
                <a:gd name="connsiteX6" fmla="*/ 7512627 w 7512627"/>
                <a:gd name="connsiteY6" fmla="*/ 25996 h 1375875"/>
                <a:gd name="connsiteX0" fmla="*/ 0 w 7512627"/>
                <a:gd name="connsiteY0" fmla="*/ 1356033 h 1359111"/>
                <a:gd name="connsiteX1" fmla="*/ 737754 w 7512627"/>
                <a:gd name="connsiteY1" fmla="*/ 1356033 h 1359111"/>
                <a:gd name="connsiteX2" fmla="*/ 1652155 w 7512627"/>
                <a:gd name="connsiteY2" fmla="*/ 1314469 h 1359111"/>
                <a:gd name="connsiteX3" fmla="*/ 2753591 w 7512627"/>
                <a:gd name="connsiteY3" fmla="*/ 981960 h 1359111"/>
                <a:gd name="connsiteX4" fmla="*/ 3439391 w 7512627"/>
                <a:gd name="connsiteY4" fmla="*/ 296160 h 1359111"/>
                <a:gd name="connsiteX5" fmla="*/ 4572000 w 7512627"/>
                <a:gd name="connsiteY5" fmla="*/ 25996 h 1359111"/>
                <a:gd name="connsiteX6" fmla="*/ 7512627 w 7512627"/>
                <a:gd name="connsiteY6" fmla="*/ 25996 h 1359111"/>
                <a:gd name="connsiteX0" fmla="*/ 0 w 7512627"/>
                <a:gd name="connsiteY0" fmla="*/ 1356033 h 1373730"/>
                <a:gd name="connsiteX1" fmla="*/ 737754 w 7512627"/>
                <a:gd name="connsiteY1" fmla="*/ 1356033 h 1373730"/>
                <a:gd name="connsiteX2" fmla="*/ 1652155 w 7512627"/>
                <a:gd name="connsiteY2" fmla="*/ 1314469 h 1373730"/>
                <a:gd name="connsiteX3" fmla="*/ 2150918 w 7512627"/>
                <a:gd name="connsiteY3" fmla="*/ 711796 h 1373730"/>
                <a:gd name="connsiteX4" fmla="*/ 3439391 w 7512627"/>
                <a:gd name="connsiteY4" fmla="*/ 296160 h 1373730"/>
                <a:gd name="connsiteX5" fmla="*/ 4572000 w 7512627"/>
                <a:gd name="connsiteY5" fmla="*/ 25996 h 1373730"/>
                <a:gd name="connsiteX6" fmla="*/ 7512627 w 7512627"/>
                <a:gd name="connsiteY6" fmla="*/ 25996 h 1373730"/>
                <a:gd name="connsiteX0" fmla="*/ 0 w 7512627"/>
                <a:gd name="connsiteY0" fmla="*/ 1349606 h 1367303"/>
                <a:gd name="connsiteX1" fmla="*/ 737754 w 7512627"/>
                <a:gd name="connsiteY1" fmla="*/ 1349606 h 1367303"/>
                <a:gd name="connsiteX2" fmla="*/ 1652155 w 7512627"/>
                <a:gd name="connsiteY2" fmla="*/ 1308042 h 1367303"/>
                <a:gd name="connsiteX3" fmla="*/ 2150918 w 7512627"/>
                <a:gd name="connsiteY3" fmla="*/ 705369 h 1367303"/>
                <a:gd name="connsiteX4" fmla="*/ 2587336 w 7512627"/>
                <a:gd name="connsiteY4" fmla="*/ 196215 h 1367303"/>
                <a:gd name="connsiteX5" fmla="*/ 4572000 w 7512627"/>
                <a:gd name="connsiteY5" fmla="*/ 19569 h 1367303"/>
                <a:gd name="connsiteX6" fmla="*/ 7512627 w 7512627"/>
                <a:gd name="connsiteY6" fmla="*/ 19569 h 1367303"/>
                <a:gd name="connsiteX0" fmla="*/ 0 w 7512627"/>
                <a:gd name="connsiteY0" fmla="*/ 1333730 h 1351427"/>
                <a:gd name="connsiteX1" fmla="*/ 737754 w 7512627"/>
                <a:gd name="connsiteY1" fmla="*/ 1333730 h 1351427"/>
                <a:gd name="connsiteX2" fmla="*/ 1652155 w 7512627"/>
                <a:gd name="connsiteY2" fmla="*/ 1292166 h 1351427"/>
                <a:gd name="connsiteX3" fmla="*/ 2150918 w 7512627"/>
                <a:gd name="connsiteY3" fmla="*/ 689493 h 1351427"/>
                <a:gd name="connsiteX4" fmla="*/ 2587336 w 7512627"/>
                <a:gd name="connsiteY4" fmla="*/ 180339 h 1351427"/>
                <a:gd name="connsiteX5" fmla="*/ 4540827 w 7512627"/>
                <a:gd name="connsiteY5" fmla="*/ 97211 h 1351427"/>
                <a:gd name="connsiteX6" fmla="*/ 7512627 w 7512627"/>
                <a:gd name="connsiteY6" fmla="*/ 3693 h 1351427"/>
                <a:gd name="connsiteX0" fmla="*/ 0 w 7512627"/>
                <a:gd name="connsiteY0" fmla="*/ 1333730 h 1351427"/>
                <a:gd name="connsiteX1" fmla="*/ 737754 w 7512627"/>
                <a:gd name="connsiteY1" fmla="*/ 1333730 h 1351427"/>
                <a:gd name="connsiteX2" fmla="*/ 1652155 w 7512627"/>
                <a:gd name="connsiteY2" fmla="*/ 1292166 h 1351427"/>
                <a:gd name="connsiteX3" fmla="*/ 2130137 w 7512627"/>
                <a:gd name="connsiteY3" fmla="*/ 689493 h 1351427"/>
                <a:gd name="connsiteX4" fmla="*/ 2587336 w 7512627"/>
                <a:gd name="connsiteY4" fmla="*/ 180339 h 1351427"/>
                <a:gd name="connsiteX5" fmla="*/ 4540827 w 7512627"/>
                <a:gd name="connsiteY5" fmla="*/ 97211 h 1351427"/>
                <a:gd name="connsiteX6" fmla="*/ 7512627 w 7512627"/>
                <a:gd name="connsiteY6" fmla="*/ 3693 h 1351427"/>
                <a:gd name="connsiteX0" fmla="*/ 0 w 7512627"/>
                <a:gd name="connsiteY0" fmla="*/ 1333730 h 1351427"/>
                <a:gd name="connsiteX1" fmla="*/ 737754 w 7512627"/>
                <a:gd name="connsiteY1" fmla="*/ 1333730 h 1351427"/>
                <a:gd name="connsiteX2" fmla="*/ 1652155 w 7512627"/>
                <a:gd name="connsiteY2" fmla="*/ 1292166 h 1351427"/>
                <a:gd name="connsiteX3" fmla="*/ 2130137 w 7512627"/>
                <a:gd name="connsiteY3" fmla="*/ 689493 h 1351427"/>
                <a:gd name="connsiteX4" fmla="*/ 2587336 w 7512627"/>
                <a:gd name="connsiteY4" fmla="*/ 180339 h 1351427"/>
                <a:gd name="connsiteX5" fmla="*/ 4540827 w 7512627"/>
                <a:gd name="connsiteY5" fmla="*/ 97211 h 1351427"/>
                <a:gd name="connsiteX6" fmla="*/ 7512627 w 7512627"/>
                <a:gd name="connsiteY6" fmla="*/ 3693 h 1351427"/>
                <a:gd name="connsiteX0" fmla="*/ 0 w 7668491"/>
                <a:gd name="connsiteY0" fmla="*/ 1266063 h 1283760"/>
                <a:gd name="connsiteX1" fmla="*/ 737754 w 7668491"/>
                <a:gd name="connsiteY1" fmla="*/ 1266063 h 1283760"/>
                <a:gd name="connsiteX2" fmla="*/ 1652155 w 7668491"/>
                <a:gd name="connsiteY2" fmla="*/ 1224499 h 1283760"/>
                <a:gd name="connsiteX3" fmla="*/ 2130137 w 7668491"/>
                <a:gd name="connsiteY3" fmla="*/ 621826 h 1283760"/>
                <a:gd name="connsiteX4" fmla="*/ 2587336 w 7668491"/>
                <a:gd name="connsiteY4" fmla="*/ 112672 h 1283760"/>
                <a:gd name="connsiteX5" fmla="*/ 4540827 w 7668491"/>
                <a:gd name="connsiteY5" fmla="*/ 29544 h 1283760"/>
                <a:gd name="connsiteX6" fmla="*/ 7668491 w 7668491"/>
                <a:gd name="connsiteY6" fmla="*/ 8762 h 1283760"/>
                <a:gd name="connsiteX0" fmla="*/ 0 w 7812005"/>
                <a:gd name="connsiteY0" fmla="*/ 1257301 h 1274998"/>
                <a:gd name="connsiteX1" fmla="*/ 737754 w 7812005"/>
                <a:gd name="connsiteY1" fmla="*/ 1257301 h 1274998"/>
                <a:gd name="connsiteX2" fmla="*/ 1652155 w 7812005"/>
                <a:gd name="connsiteY2" fmla="*/ 1215737 h 1274998"/>
                <a:gd name="connsiteX3" fmla="*/ 2130137 w 7812005"/>
                <a:gd name="connsiteY3" fmla="*/ 613064 h 1274998"/>
                <a:gd name="connsiteX4" fmla="*/ 2587336 w 7812005"/>
                <a:gd name="connsiteY4" fmla="*/ 103910 h 1274998"/>
                <a:gd name="connsiteX5" fmla="*/ 4540827 w 7812005"/>
                <a:gd name="connsiteY5" fmla="*/ 20782 h 1274998"/>
                <a:gd name="connsiteX6" fmla="*/ 7550727 w 7812005"/>
                <a:gd name="connsiteY6" fmla="*/ 281419 h 1274998"/>
                <a:gd name="connsiteX7" fmla="*/ 7668491 w 7812005"/>
                <a:gd name="connsiteY7" fmla="*/ 0 h 1274998"/>
                <a:gd name="connsiteX0" fmla="*/ 0 w 7846898"/>
                <a:gd name="connsiteY0" fmla="*/ 1237275 h 1943856"/>
                <a:gd name="connsiteX1" fmla="*/ 737754 w 7846898"/>
                <a:gd name="connsiteY1" fmla="*/ 1237275 h 1943856"/>
                <a:gd name="connsiteX2" fmla="*/ 1652155 w 7846898"/>
                <a:gd name="connsiteY2" fmla="*/ 1195711 h 1943856"/>
                <a:gd name="connsiteX3" fmla="*/ 2130137 w 7846898"/>
                <a:gd name="connsiteY3" fmla="*/ 593038 h 1943856"/>
                <a:gd name="connsiteX4" fmla="*/ 2587336 w 7846898"/>
                <a:gd name="connsiteY4" fmla="*/ 83884 h 1943856"/>
                <a:gd name="connsiteX5" fmla="*/ 4540827 w 7846898"/>
                <a:gd name="connsiteY5" fmla="*/ 756 h 1943856"/>
                <a:gd name="connsiteX6" fmla="*/ 7550727 w 7846898"/>
                <a:gd name="connsiteY6" fmla="*/ 261393 h 1943856"/>
                <a:gd name="connsiteX7" fmla="*/ 7762009 w 7846898"/>
                <a:gd name="connsiteY7" fmla="*/ 1943856 h 1943856"/>
                <a:gd name="connsiteX0" fmla="*/ 0 w 7891781"/>
                <a:gd name="connsiteY0" fmla="*/ 1266831 h 1973412"/>
                <a:gd name="connsiteX1" fmla="*/ 737754 w 7891781"/>
                <a:gd name="connsiteY1" fmla="*/ 1266831 h 1973412"/>
                <a:gd name="connsiteX2" fmla="*/ 1652155 w 7891781"/>
                <a:gd name="connsiteY2" fmla="*/ 1225267 h 1973412"/>
                <a:gd name="connsiteX3" fmla="*/ 2130137 w 7891781"/>
                <a:gd name="connsiteY3" fmla="*/ 622594 h 1973412"/>
                <a:gd name="connsiteX4" fmla="*/ 2587336 w 7891781"/>
                <a:gd name="connsiteY4" fmla="*/ 113440 h 1973412"/>
                <a:gd name="connsiteX5" fmla="*/ 4540827 w 7891781"/>
                <a:gd name="connsiteY5" fmla="*/ 30312 h 1973412"/>
                <a:gd name="connsiteX6" fmla="*/ 7623464 w 7891781"/>
                <a:gd name="connsiteY6" fmla="*/ 4 h 1973412"/>
                <a:gd name="connsiteX7" fmla="*/ 7762009 w 7891781"/>
                <a:gd name="connsiteY7" fmla="*/ 1973412 h 1973412"/>
                <a:gd name="connsiteX0" fmla="*/ 0 w 7762009"/>
                <a:gd name="connsiteY0" fmla="*/ 1266827 h 1973408"/>
                <a:gd name="connsiteX1" fmla="*/ 737754 w 7762009"/>
                <a:gd name="connsiteY1" fmla="*/ 1266827 h 1973408"/>
                <a:gd name="connsiteX2" fmla="*/ 1652155 w 7762009"/>
                <a:gd name="connsiteY2" fmla="*/ 1225263 h 1973408"/>
                <a:gd name="connsiteX3" fmla="*/ 2130137 w 7762009"/>
                <a:gd name="connsiteY3" fmla="*/ 622590 h 1973408"/>
                <a:gd name="connsiteX4" fmla="*/ 2587336 w 7762009"/>
                <a:gd name="connsiteY4" fmla="*/ 113436 h 1973408"/>
                <a:gd name="connsiteX5" fmla="*/ 4540827 w 7762009"/>
                <a:gd name="connsiteY5" fmla="*/ 30308 h 1973408"/>
                <a:gd name="connsiteX6" fmla="*/ 7623464 w 7762009"/>
                <a:gd name="connsiteY6" fmla="*/ 0 h 1973408"/>
                <a:gd name="connsiteX7" fmla="*/ 7762009 w 7762009"/>
                <a:gd name="connsiteY7" fmla="*/ 1973408 h 1973408"/>
                <a:gd name="connsiteX0" fmla="*/ 0 w 7936844"/>
                <a:gd name="connsiteY0" fmla="*/ 1277218 h 1983799"/>
                <a:gd name="connsiteX1" fmla="*/ 737754 w 7936844"/>
                <a:gd name="connsiteY1" fmla="*/ 1277218 h 1983799"/>
                <a:gd name="connsiteX2" fmla="*/ 1652155 w 7936844"/>
                <a:gd name="connsiteY2" fmla="*/ 1235654 h 1983799"/>
                <a:gd name="connsiteX3" fmla="*/ 2130137 w 7936844"/>
                <a:gd name="connsiteY3" fmla="*/ 632981 h 1983799"/>
                <a:gd name="connsiteX4" fmla="*/ 2587336 w 7936844"/>
                <a:gd name="connsiteY4" fmla="*/ 123827 h 1983799"/>
                <a:gd name="connsiteX5" fmla="*/ 4540827 w 7936844"/>
                <a:gd name="connsiteY5" fmla="*/ 40699 h 1983799"/>
                <a:gd name="connsiteX6" fmla="*/ 7935192 w 7936844"/>
                <a:gd name="connsiteY6" fmla="*/ 0 h 1983799"/>
                <a:gd name="connsiteX7" fmla="*/ 7762009 w 7936844"/>
                <a:gd name="connsiteY7" fmla="*/ 1983799 h 1983799"/>
                <a:gd name="connsiteX0" fmla="*/ 0 w 7959436"/>
                <a:gd name="connsiteY0" fmla="*/ 1277218 h 2004581"/>
                <a:gd name="connsiteX1" fmla="*/ 737754 w 7959436"/>
                <a:gd name="connsiteY1" fmla="*/ 1277218 h 2004581"/>
                <a:gd name="connsiteX2" fmla="*/ 1652155 w 7959436"/>
                <a:gd name="connsiteY2" fmla="*/ 1235654 h 2004581"/>
                <a:gd name="connsiteX3" fmla="*/ 2130137 w 7959436"/>
                <a:gd name="connsiteY3" fmla="*/ 632981 h 2004581"/>
                <a:gd name="connsiteX4" fmla="*/ 2587336 w 7959436"/>
                <a:gd name="connsiteY4" fmla="*/ 123827 h 2004581"/>
                <a:gd name="connsiteX5" fmla="*/ 4540827 w 7959436"/>
                <a:gd name="connsiteY5" fmla="*/ 40699 h 2004581"/>
                <a:gd name="connsiteX6" fmla="*/ 7935192 w 7959436"/>
                <a:gd name="connsiteY6" fmla="*/ 0 h 2004581"/>
                <a:gd name="connsiteX7" fmla="*/ 7959436 w 7959436"/>
                <a:gd name="connsiteY7" fmla="*/ 2004581 h 2004581"/>
                <a:gd name="connsiteX0" fmla="*/ 0 w 8195561"/>
                <a:gd name="connsiteY0" fmla="*/ 1277218 h 2157127"/>
                <a:gd name="connsiteX1" fmla="*/ 737754 w 8195561"/>
                <a:gd name="connsiteY1" fmla="*/ 1277218 h 2157127"/>
                <a:gd name="connsiteX2" fmla="*/ 1652155 w 8195561"/>
                <a:gd name="connsiteY2" fmla="*/ 1235654 h 2157127"/>
                <a:gd name="connsiteX3" fmla="*/ 2130137 w 8195561"/>
                <a:gd name="connsiteY3" fmla="*/ 632981 h 2157127"/>
                <a:gd name="connsiteX4" fmla="*/ 2587336 w 8195561"/>
                <a:gd name="connsiteY4" fmla="*/ 123827 h 2157127"/>
                <a:gd name="connsiteX5" fmla="*/ 4540827 w 8195561"/>
                <a:gd name="connsiteY5" fmla="*/ 40699 h 2157127"/>
                <a:gd name="connsiteX6" fmla="*/ 7935192 w 8195561"/>
                <a:gd name="connsiteY6" fmla="*/ 0 h 2157127"/>
                <a:gd name="connsiteX7" fmla="*/ 7966362 w 8195561"/>
                <a:gd name="connsiteY7" fmla="*/ 2015837 h 2157127"/>
                <a:gd name="connsiteX8" fmla="*/ 7959436 w 8195561"/>
                <a:gd name="connsiteY8" fmla="*/ 2004581 h 2157127"/>
                <a:gd name="connsiteX0" fmla="*/ 1475510 w 9671071"/>
                <a:gd name="connsiteY0" fmla="*/ 1277218 h 2162223"/>
                <a:gd name="connsiteX1" fmla="*/ 2213264 w 9671071"/>
                <a:gd name="connsiteY1" fmla="*/ 1277218 h 2162223"/>
                <a:gd name="connsiteX2" fmla="*/ 3127665 w 9671071"/>
                <a:gd name="connsiteY2" fmla="*/ 1235654 h 2162223"/>
                <a:gd name="connsiteX3" fmla="*/ 3605647 w 9671071"/>
                <a:gd name="connsiteY3" fmla="*/ 632981 h 2162223"/>
                <a:gd name="connsiteX4" fmla="*/ 4062846 w 9671071"/>
                <a:gd name="connsiteY4" fmla="*/ 123827 h 2162223"/>
                <a:gd name="connsiteX5" fmla="*/ 6016337 w 9671071"/>
                <a:gd name="connsiteY5" fmla="*/ 40699 h 2162223"/>
                <a:gd name="connsiteX6" fmla="*/ 9410702 w 9671071"/>
                <a:gd name="connsiteY6" fmla="*/ 0 h 2162223"/>
                <a:gd name="connsiteX7" fmla="*/ 9441872 w 9671071"/>
                <a:gd name="connsiteY7" fmla="*/ 2015837 h 2162223"/>
                <a:gd name="connsiteX8" fmla="*/ 0 w 9671071"/>
                <a:gd name="connsiteY8" fmla="*/ 2025363 h 2162223"/>
                <a:gd name="connsiteX0" fmla="*/ 1475510 w 9671071"/>
                <a:gd name="connsiteY0" fmla="*/ 1277218 h 2162223"/>
                <a:gd name="connsiteX1" fmla="*/ 2213264 w 9671071"/>
                <a:gd name="connsiteY1" fmla="*/ 1277218 h 2162223"/>
                <a:gd name="connsiteX2" fmla="*/ 3127665 w 9671071"/>
                <a:gd name="connsiteY2" fmla="*/ 1235654 h 2162223"/>
                <a:gd name="connsiteX3" fmla="*/ 3605647 w 9671071"/>
                <a:gd name="connsiteY3" fmla="*/ 632981 h 2162223"/>
                <a:gd name="connsiteX4" fmla="*/ 4062846 w 9671071"/>
                <a:gd name="connsiteY4" fmla="*/ 123827 h 2162223"/>
                <a:gd name="connsiteX5" fmla="*/ 6016337 w 9671071"/>
                <a:gd name="connsiteY5" fmla="*/ 40699 h 2162223"/>
                <a:gd name="connsiteX6" fmla="*/ 9410702 w 9671071"/>
                <a:gd name="connsiteY6" fmla="*/ 0 h 2162223"/>
                <a:gd name="connsiteX7" fmla="*/ 9441872 w 9671071"/>
                <a:gd name="connsiteY7" fmla="*/ 2015837 h 2162223"/>
                <a:gd name="connsiteX8" fmla="*/ 0 w 9671071"/>
                <a:gd name="connsiteY8" fmla="*/ 2025363 h 2162223"/>
                <a:gd name="connsiteX0" fmla="*/ 1475510 w 9441873"/>
                <a:gd name="connsiteY0" fmla="*/ 1277218 h 2162223"/>
                <a:gd name="connsiteX1" fmla="*/ 2213264 w 9441873"/>
                <a:gd name="connsiteY1" fmla="*/ 1277218 h 2162223"/>
                <a:gd name="connsiteX2" fmla="*/ 3127665 w 9441873"/>
                <a:gd name="connsiteY2" fmla="*/ 1235654 h 2162223"/>
                <a:gd name="connsiteX3" fmla="*/ 3605647 w 9441873"/>
                <a:gd name="connsiteY3" fmla="*/ 632981 h 2162223"/>
                <a:gd name="connsiteX4" fmla="*/ 4062846 w 9441873"/>
                <a:gd name="connsiteY4" fmla="*/ 123827 h 2162223"/>
                <a:gd name="connsiteX5" fmla="*/ 6016337 w 9441873"/>
                <a:gd name="connsiteY5" fmla="*/ 40699 h 2162223"/>
                <a:gd name="connsiteX6" fmla="*/ 9410702 w 9441873"/>
                <a:gd name="connsiteY6" fmla="*/ 0 h 2162223"/>
                <a:gd name="connsiteX7" fmla="*/ 9441872 w 9441873"/>
                <a:gd name="connsiteY7" fmla="*/ 2015837 h 2162223"/>
                <a:gd name="connsiteX8" fmla="*/ 0 w 9441873"/>
                <a:gd name="connsiteY8" fmla="*/ 2025363 h 2162223"/>
                <a:gd name="connsiteX0" fmla="*/ 1475510 w 9441872"/>
                <a:gd name="connsiteY0" fmla="*/ 1277218 h 2025363"/>
                <a:gd name="connsiteX1" fmla="*/ 2213264 w 9441872"/>
                <a:gd name="connsiteY1" fmla="*/ 1277218 h 2025363"/>
                <a:gd name="connsiteX2" fmla="*/ 3127665 w 9441872"/>
                <a:gd name="connsiteY2" fmla="*/ 1235654 h 2025363"/>
                <a:gd name="connsiteX3" fmla="*/ 3605647 w 9441872"/>
                <a:gd name="connsiteY3" fmla="*/ 632981 h 2025363"/>
                <a:gd name="connsiteX4" fmla="*/ 4062846 w 9441872"/>
                <a:gd name="connsiteY4" fmla="*/ 123827 h 2025363"/>
                <a:gd name="connsiteX5" fmla="*/ 6016337 w 9441872"/>
                <a:gd name="connsiteY5" fmla="*/ 40699 h 2025363"/>
                <a:gd name="connsiteX6" fmla="*/ 9410702 w 9441872"/>
                <a:gd name="connsiteY6" fmla="*/ 0 h 2025363"/>
                <a:gd name="connsiteX7" fmla="*/ 9441872 w 9441872"/>
                <a:gd name="connsiteY7" fmla="*/ 2015837 h 2025363"/>
                <a:gd name="connsiteX8" fmla="*/ 0 w 9441872"/>
                <a:gd name="connsiteY8" fmla="*/ 2025363 h 2025363"/>
                <a:gd name="connsiteX0" fmla="*/ 1475510 w 9480544"/>
                <a:gd name="connsiteY0" fmla="*/ 1298000 h 2046145"/>
                <a:gd name="connsiteX1" fmla="*/ 2213264 w 9480544"/>
                <a:gd name="connsiteY1" fmla="*/ 1298000 h 2046145"/>
                <a:gd name="connsiteX2" fmla="*/ 3127665 w 9480544"/>
                <a:gd name="connsiteY2" fmla="*/ 1256436 h 2046145"/>
                <a:gd name="connsiteX3" fmla="*/ 3605647 w 9480544"/>
                <a:gd name="connsiteY3" fmla="*/ 653763 h 2046145"/>
                <a:gd name="connsiteX4" fmla="*/ 4062846 w 9480544"/>
                <a:gd name="connsiteY4" fmla="*/ 144609 h 2046145"/>
                <a:gd name="connsiteX5" fmla="*/ 6016337 w 9480544"/>
                <a:gd name="connsiteY5" fmla="*/ 61481 h 2046145"/>
                <a:gd name="connsiteX6" fmla="*/ 9473048 w 9480544"/>
                <a:gd name="connsiteY6" fmla="*/ 0 h 2046145"/>
                <a:gd name="connsiteX7" fmla="*/ 9441872 w 9480544"/>
                <a:gd name="connsiteY7" fmla="*/ 2036619 h 2046145"/>
                <a:gd name="connsiteX8" fmla="*/ 0 w 9480544"/>
                <a:gd name="connsiteY8" fmla="*/ 2046145 h 2046145"/>
                <a:gd name="connsiteX0" fmla="*/ 1475510 w 9471220"/>
                <a:gd name="connsiteY0" fmla="*/ 1236519 h 1984664"/>
                <a:gd name="connsiteX1" fmla="*/ 2213264 w 9471220"/>
                <a:gd name="connsiteY1" fmla="*/ 1236519 h 1984664"/>
                <a:gd name="connsiteX2" fmla="*/ 3127665 w 9471220"/>
                <a:gd name="connsiteY2" fmla="*/ 1194955 h 1984664"/>
                <a:gd name="connsiteX3" fmla="*/ 3605647 w 9471220"/>
                <a:gd name="connsiteY3" fmla="*/ 592282 h 1984664"/>
                <a:gd name="connsiteX4" fmla="*/ 4062846 w 9471220"/>
                <a:gd name="connsiteY4" fmla="*/ 83128 h 1984664"/>
                <a:gd name="connsiteX5" fmla="*/ 6016337 w 9471220"/>
                <a:gd name="connsiteY5" fmla="*/ 0 h 1984664"/>
                <a:gd name="connsiteX6" fmla="*/ 9462657 w 9471220"/>
                <a:gd name="connsiteY6" fmla="*/ 864 h 1984664"/>
                <a:gd name="connsiteX7" fmla="*/ 9441872 w 9471220"/>
                <a:gd name="connsiteY7" fmla="*/ 1975138 h 1984664"/>
                <a:gd name="connsiteX8" fmla="*/ 0 w 9471220"/>
                <a:gd name="connsiteY8" fmla="*/ 1984664 h 1984664"/>
                <a:gd name="connsiteX0" fmla="*/ 1475510 w 9477620"/>
                <a:gd name="connsiteY0" fmla="*/ 1236519 h 1984664"/>
                <a:gd name="connsiteX1" fmla="*/ 2213264 w 9477620"/>
                <a:gd name="connsiteY1" fmla="*/ 1236519 h 1984664"/>
                <a:gd name="connsiteX2" fmla="*/ 3127665 w 9477620"/>
                <a:gd name="connsiteY2" fmla="*/ 1194955 h 1984664"/>
                <a:gd name="connsiteX3" fmla="*/ 3605647 w 9477620"/>
                <a:gd name="connsiteY3" fmla="*/ 592282 h 1984664"/>
                <a:gd name="connsiteX4" fmla="*/ 4062846 w 9477620"/>
                <a:gd name="connsiteY4" fmla="*/ 83128 h 1984664"/>
                <a:gd name="connsiteX5" fmla="*/ 6016337 w 9477620"/>
                <a:gd name="connsiteY5" fmla="*/ 0 h 1984664"/>
                <a:gd name="connsiteX6" fmla="*/ 9462657 w 9477620"/>
                <a:gd name="connsiteY6" fmla="*/ 864 h 1984664"/>
                <a:gd name="connsiteX7" fmla="*/ 9473044 w 9477620"/>
                <a:gd name="connsiteY7" fmla="*/ 1975138 h 1984664"/>
                <a:gd name="connsiteX8" fmla="*/ 0 w 9477620"/>
                <a:gd name="connsiteY8" fmla="*/ 1984664 h 1984664"/>
                <a:gd name="connsiteX0" fmla="*/ 1645229 w 9647339"/>
                <a:gd name="connsiteY0" fmla="*/ 1236519 h 1984664"/>
                <a:gd name="connsiteX1" fmla="*/ 2382983 w 9647339"/>
                <a:gd name="connsiteY1" fmla="*/ 1236519 h 1984664"/>
                <a:gd name="connsiteX2" fmla="*/ 3297384 w 9647339"/>
                <a:gd name="connsiteY2" fmla="*/ 1194955 h 1984664"/>
                <a:gd name="connsiteX3" fmla="*/ 3775366 w 9647339"/>
                <a:gd name="connsiteY3" fmla="*/ 592282 h 1984664"/>
                <a:gd name="connsiteX4" fmla="*/ 4232565 w 9647339"/>
                <a:gd name="connsiteY4" fmla="*/ 83128 h 1984664"/>
                <a:gd name="connsiteX5" fmla="*/ 6186056 w 9647339"/>
                <a:gd name="connsiteY5" fmla="*/ 0 h 1984664"/>
                <a:gd name="connsiteX6" fmla="*/ 9632376 w 9647339"/>
                <a:gd name="connsiteY6" fmla="*/ 864 h 1984664"/>
                <a:gd name="connsiteX7" fmla="*/ 9642763 w 9647339"/>
                <a:gd name="connsiteY7" fmla="*/ 1975138 h 1984664"/>
                <a:gd name="connsiteX8" fmla="*/ 0 w 9647339"/>
                <a:gd name="connsiteY8" fmla="*/ 1226992 h 1984664"/>
                <a:gd name="connsiteX9" fmla="*/ 169719 w 9647339"/>
                <a:gd name="connsiteY9" fmla="*/ 1984664 h 1984664"/>
                <a:gd name="connsiteX0" fmla="*/ 1475510 w 9477620"/>
                <a:gd name="connsiteY0" fmla="*/ 1236519 h 1985528"/>
                <a:gd name="connsiteX1" fmla="*/ 2213264 w 9477620"/>
                <a:gd name="connsiteY1" fmla="*/ 1236519 h 1985528"/>
                <a:gd name="connsiteX2" fmla="*/ 3127665 w 9477620"/>
                <a:gd name="connsiteY2" fmla="*/ 1194955 h 1985528"/>
                <a:gd name="connsiteX3" fmla="*/ 3605647 w 9477620"/>
                <a:gd name="connsiteY3" fmla="*/ 592282 h 1985528"/>
                <a:gd name="connsiteX4" fmla="*/ 4062846 w 9477620"/>
                <a:gd name="connsiteY4" fmla="*/ 83128 h 1985528"/>
                <a:gd name="connsiteX5" fmla="*/ 6016337 w 9477620"/>
                <a:gd name="connsiteY5" fmla="*/ 0 h 1985528"/>
                <a:gd name="connsiteX6" fmla="*/ 9462657 w 9477620"/>
                <a:gd name="connsiteY6" fmla="*/ 864 h 1985528"/>
                <a:gd name="connsiteX7" fmla="*/ 9473044 w 9477620"/>
                <a:gd name="connsiteY7" fmla="*/ 1975138 h 1985528"/>
                <a:gd name="connsiteX8" fmla="*/ 370608 w 9477620"/>
                <a:gd name="connsiteY8" fmla="*/ 1985528 h 1985528"/>
                <a:gd name="connsiteX9" fmla="*/ 0 w 9477620"/>
                <a:gd name="connsiteY9" fmla="*/ 1984664 h 1985528"/>
                <a:gd name="connsiteX0" fmla="*/ 1589810 w 9591920"/>
                <a:gd name="connsiteY0" fmla="*/ 1236519 h 1985528"/>
                <a:gd name="connsiteX1" fmla="*/ 2327564 w 9591920"/>
                <a:gd name="connsiteY1" fmla="*/ 1236519 h 1985528"/>
                <a:gd name="connsiteX2" fmla="*/ 3241965 w 9591920"/>
                <a:gd name="connsiteY2" fmla="*/ 1194955 h 1985528"/>
                <a:gd name="connsiteX3" fmla="*/ 3719947 w 9591920"/>
                <a:gd name="connsiteY3" fmla="*/ 592282 h 1985528"/>
                <a:gd name="connsiteX4" fmla="*/ 4177146 w 9591920"/>
                <a:gd name="connsiteY4" fmla="*/ 83128 h 1985528"/>
                <a:gd name="connsiteX5" fmla="*/ 6130637 w 9591920"/>
                <a:gd name="connsiteY5" fmla="*/ 0 h 1985528"/>
                <a:gd name="connsiteX6" fmla="*/ 9576957 w 9591920"/>
                <a:gd name="connsiteY6" fmla="*/ 864 h 1985528"/>
                <a:gd name="connsiteX7" fmla="*/ 9587344 w 9591920"/>
                <a:gd name="connsiteY7" fmla="*/ 1975138 h 1985528"/>
                <a:gd name="connsiteX8" fmla="*/ 484908 w 9591920"/>
                <a:gd name="connsiteY8" fmla="*/ 1985528 h 1985528"/>
                <a:gd name="connsiteX9" fmla="*/ 0 w 9591920"/>
                <a:gd name="connsiteY9" fmla="*/ 1257300 h 1985528"/>
                <a:gd name="connsiteX0" fmla="*/ 1589810 w 9591920"/>
                <a:gd name="connsiteY0" fmla="*/ 1236519 h 1985528"/>
                <a:gd name="connsiteX1" fmla="*/ 2327564 w 9591920"/>
                <a:gd name="connsiteY1" fmla="*/ 1236519 h 1985528"/>
                <a:gd name="connsiteX2" fmla="*/ 3241965 w 9591920"/>
                <a:gd name="connsiteY2" fmla="*/ 1194955 h 1985528"/>
                <a:gd name="connsiteX3" fmla="*/ 3719947 w 9591920"/>
                <a:gd name="connsiteY3" fmla="*/ 592282 h 1985528"/>
                <a:gd name="connsiteX4" fmla="*/ 4177146 w 9591920"/>
                <a:gd name="connsiteY4" fmla="*/ 83128 h 1985528"/>
                <a:gd name="connsiteX5" fmla="*/ 6130637 w 9591920"/>
                <a:gd name="connsiteY5" fmla="*/ 0 h 1985528"/>
                <a:gd name="connsiteX6" fmla="*/ 9576957 w 9591920"/>
                <a:gd name="connsiteY6" fmla="*/ 864 h 1985528"/>
                <a:gd name="connsiteX7" fmla="*/ 9587344 w 9591920"/>
                <a:gd name="connsiteY7" fmla="*/ 1975138 h 1985528"/>
                <a:gd name="connsiteX8" fmla="*/ 204354 w 9591920"/>
                <a:gd name="connsiteY8" fmla="*/ 1985528 h 1985528"/>
                <a:gd name="connsiteX9" fmla="*/ 0 w 9591920"/>
                <a:gd name="connsiteY9" fmla="*/ 1257300 h 1985528"/>
                <a:gd name="connsiteX0" fmla="*/ 1589810 w 9591920"/>
                <a:gd name="connsiteY0" fmla="*/ 1236519 h 1985528"/>
                <a:gd name="connsiteX1" fmla="*/ 2327564 w 9591920"/>
                <a:gd name="connsiteY1" fmla="*/ 1236519 h 1985528"/>
                <a:gd name="connsiteX2" fmla="*/ 3241965 w 9591920"/>
                <a:gd name="connsiteY2" fmla="*/ 1194955 h 1985528"/>
                <a:gd name="connsiteX3" fmla="*/ 3719947 w 9591920"/>
                <a:gd name="connsiteY3" fmla="*/ 592282 h 1985528"/>
                <a:gd name="connsiteX4" fmla="*/ 4177146 w 9591920"/>
                <a:gd name="connsiteY4" fmla="*/ 83128 h 1985528"/>
                <a:gd name="connsiteX5" fmla="*/ 6130637 w 9591920"/>
                <a:gd name="connsiteY5" fmla="*/ 0 h 1985528"/>
                <a:gd name="connsiteX6" fmla="*/ 9576957 w 9591920"/>
                <a:gd name="connsiteY6" fmla="*/ 864 h 1985528"/>
                <a:gd name="connsiteX7" fmla="*/ 9587344 w 9591920"/>
                <a:gd name="connsiteY7" fmla="*/ 1975138 h 1985528"/>
                <a:gd name="connsiteX8" fmla="*/ 204354 w 9591920"/>
                <a:gd name="connsiteY8" fmla="*/ 1985528 h 1985528"/>
                <a:gd name="connsiteX9" fmla="*/ 0 w 9591920"/>
                <a:gd name="connsiteY9" fmla="*/ 1257300 h 1985528"/>
                <a:gd name="connsiteX0" fmla="*/ 1589810 w 9591920"/>
                <a:gd name="connsiteY0" fmla="*/ 1236519 h 1985528"/>
                <a:gd name="connsiteX1" fmla="*/ 2327564 w 9591920"/>
                <a:gd name="connsiteY1" fmla="*/ 1236519 h 1985528"/>
                <a:gd name="connsiteX2" fmla="*/ 3241965 w 9591920"/>
                <a:gd name="connsiteY2" fmla="*/ 1194955 h 1985528"/>
                <a:gd name="connsiteX3" fmla="*/ 3719947 w 9591920"/>
                <a:gd name="connsiteY3" fmla="*/ 592282 h 1985528"/>
                <a:gd name="connsiteX4" fmla="*/ 4177146 w 9591920"/>
                <a:gd name="connsiteY4" fmla="*/ 83128 h 1985528"/>
                <a:gd name="connsiteX5" fmla="*/ 6130637 w 9591920"/>
                <a:gd name="connsiteY5" fmla="*/ 0 h 1985528"/>
                <a:gd name="connsiteX6" fmla="*/ 9576957 w 9591920"/>
                <a:gd name="connsiteY6" fmla="*/ 864 h 1985528"/>
                <a:gd name="connsiteX7" fmla="*/ 9587344 w 9591920"/>
                <a:gd name="connsiteY7" fmla="*/ 1975138 h 1985528"/>
                <a:gd name="connsiteX8" fmla="*/ 204354 w 9591920"/>
                <a:gd name="connsiteY8" fmla="*/ 1985528 h 1985528"/>
                <a:gd name="connsiteX9" fmla="*/ 90054 w 9591920"/>
                <a:gd name="connsiteY9" fmla="*/ 1569892 h 1985528"/>
                <a:gd name="connsiteX10" fmla="*/ 0 w 9591920"/>
                <a:gd name="connsiteY10" fmla="*/ 1257300 h 1985528"/>
                <a:gd name="connsiteX0" fmla="*/ 1589810 w 9591920"/>
                <a:gd name="connsiteY0" fmla="*/ 1236519 h 1985528"/>
                <a:gd name="connsiteX1" fmla="*/ 2327564 w 9591920"/>
                <a:gd name="connsiteY1" fmla="*/ 1236519 h 1985528"/>
                <a:gd name="connsiteX2" fmla="*/ 3241965 w 9591920"/>
                <a:gd name="connsiteY2" fmla="*/ 1194955 h 1985528"/>
                <a:gd name="connsiteX3" fmla="*/ 3719947 w 9591920"/>
                <a:gd name="connsiteY3" fmla="*/ 592282 h 1985528"/>
                <a:gd name="connsiteX4" fmla="*/ 4177146 w 9591920"/>
                <a:gd name="connsiteY4" fmla="*/ 83128 h 1985528"/>
                <a:gd name="connsiteX5" fmla="*/ 6130637 w 9591920"/>
                <a:gd name="connsiteY5" fmla="*/ 0 h 1985528"/>
                <a:gd name="connsiteX6" fmla="*/ 9576957 w 9591920"/>
                <a:gd name="connsiteY6" fmla="*/ 864 h 1985528"/>
                <a:gd name="connsiteX7" fmla="*/ 9587344 w 9591920"/>
                <a:gd name="connsiteY7" fmla="*/ 1975138 h 1985528"/>
                <a:gd name="connsiteX8" fmla="*/ 547254 w 9591920"/>
                <a:gd name="connsiteY8" fmla="*/ 1923182 h 1985528"/>
                <a:gd name="connsiteX9" fmla="*/ 204354 w 9591920"/>
                <a:gd name="connsiteY9" fmla="*/ 1985528 h 1985528"/>
                <a:gd name="connsiteX10" fmla="*/ 90054 w 9591920"/>
                <a:gd name="connsiteY10" fmla="*/ 1569892 h 1985528"/>
                <a:gd name="connsiteX11" fmla="*/ 0 w 9591920"/>
                <a:gd name="connsiteY11" fmla="*/ 1257300 h 1985528"/>
                <a:gd name="connsiteX0" fmla="*/ 1589810 w 9591920"/>
                <a:gd name="connsiteY0" fmla="*/ 1236519 h 1985528"/>
                <a:gd name="connsiteX1" fmla="*/ 2327564 w 9591920"/>
                <a:gd name="connsiteY1" fmla="*/ 1236519 h 1985528"/>
                <a:gd name="connsiteX2" fmla="*/ 3241965 w 9591920"/>
                <a:gd name="connsiteY2" fmla="*/ 1194955 h 1985528"/>
                <a:gd name="connsiteX3" fmla="*/ 3719947 w 9591920"/>
                <a:gd name="connsiteY3" fmla="*/ 592282 h 1985528"/>
                <a:gd name="connsiteX4" fmla="*/ 4177146 w 9591920"/>
                <a:gd name="connsiteY4" fmla="*/ 83128 h 1985528"/>
                <a:gd name="connsiteX5" fmla="*/ 6130637 w 9591920"/>
                <a:gd name="connsiteY5" fmla="*/ 0 h 1985528"/>
                <a:gd name="connsiteX6" fmla="*/ 9576957 w 9591920"/>
                <a:gd name="connsiteY6" fmla="*/ 864 h 1985528"/>
                <a:gd name="connsiteX7" fmla="*/ 9587344 w 9591920"/>
                <a:gd name="connsiteY7" fmla="*/ 1975138 h 1985528"/>
                <a:gd name="connsiteX8" fmla="*/ 1243444 w 9591920"/>
                <a:gd name="connsiteY8" fmla="*/ 1829664 h 1985528"/>
                <a:gd name="connsiteX9" fmla="*/ 547254 w 9591920"/>
                <a:gd name="connsiteY9" fmla="*/ 1923182 h 1985528"/>
                <a:gd name="connsiteX10" fmla="*/ 204354 w 9591920"/>
                <a:gd name="connsiteY10" fmla="*/ 1985528 h 1985528"/>
                <a:gd name="connsiteX11" fmla="*/ 90054 w 9591920"/>
                <a:gd name="connsiteY11" fmla="*/ 1569892 h 1985528"/>
                <a:gd name="connsiteX12" fmla="*/ 0 w 9591920"/>
                <a:gd name="connsiteY12" fmla="*/ 1257300 h 1985528"/>
                <a:gd name="connsiteX0" fmla="*/ 1641764 w 9643874"/>
                <a:gd name="connsiteY0" fmla="*/ 1236519 h 1985528"/>
                <a:gd name="connsiteX1" fmla="*/ 2379518 w 9643874"/>
                <a:gd name="connsiteY1" fmla="*/ 1236519 h 1985528"/>
                <a:gd name="connsiteX2" fmla="*/ 3293919 w 9643874"/>
                <a:gd name="connsiteY2" fmla="*/ 1194955 h 1985528"/>
                <a:gd name="connsiteX3" fmla="*/ 3771901 w 9643874"/>
                <a:gd name="connsiteY3" fmla="*/ 592282 h 1985528"/>
                <a:gd name="connsiteX4" fmla="*/ 4229100 w 9643874"/>
                <a:gd name="connsiteY4" fmla="*/ 83128 h 1985528"/>
                <a:gd name="connsiteX5" fmla="*/ 6182591 w 9643874"/>
                <a:gd name="connsiteY5" fmla="*/ 0 h 1985528"/>
                <a:gd name="connsiteX6" fmla="*/ 9628911 w 9643874"/>
                <a:gd name="connsiteY6" fmla="*/ 864 h 1985528"/>
                <a:gd name="connsiteX7" fmla="*/ 9639298 w 9643874"/>
                <a:gd name="connsiteY7" fmla="*/ 1975138 h 1985528"/>
                <a:gd name="connsiteX8" fmla="*/ 1295398 w 9643874"/>
                <a:gd name="connsiteY8" fmla="*/ 1829664 h 1985528"/>
                <a:gd name="connsiteX9" fmla="*/ 599208 w 9643874"/>
                <a:gd name="connsiteY9" fmla="*/ 1923182 h 1985528"/>
                <a:gd name="connsiteX10" fmla="*/ 256308 w 9643874"/>
                <a:gd name="connsiteY10" fmla="*/ 1985528 h 1985528"/>
                <a:gd name="connsiteX11" fmla="*/ 142008 w 9643874"/>
                <a:gd name="connsiteY11" fmla="*/ 1569892 h 1985528"/>
                <a:gd name="connsiteX12" fmla="*/ 0 w 9643874"/>
                <a:gd name="connsiteY12" fmla="*/ 1350818 h 1985528"/>
                <a:gd name="connsiteX0" fmla="*/ 1499756 w 9501866"/>
                <a:gd name="connsiteY0" fmla="*/ 1236519 h 1985528"/>
                <a:gd name="connsiteX1" fmla="*/ 2237510 w 9501866"/>
                <a:gd name="connsiteY1" fmla="*/ 1236519 h 1985528"/>
                <a:gd name="connsiteX2" fmla="*/ 3151911 w 9501866"/>
                <a:gd name="connsiteY2" fmla="*/ 1194955 h 1985528"/>
                <a:gd name="connsiteX3" fmla="*/ 3629893 w 9501866"/>
                <a:gd name="connsiteY3" fmla="*/ 592282 h 1985528"/>
                <a:gd name="connsiteX4" fmla="*/ 4087092 w 9501866"/>
                <a:gd name="connsiteY4" fmla="*/ 83128 h 1985528"/>
                <a:gd name="connsiteX5" fmla="*/ 6040583 w 9501866"/>
                <a:gd name="connsiteY5" fmla="*/ 0 h 1985528"/>
                <a:gd name="connsiteX6" fmla="*/ 9486903 w 9501866"/>
                <a:gd name="connsiteY6" fmla="*/ 864 h 1985528"/>
                <a:gd name="connsiteX7" fmla="*/ 9497290 w 9501866"/>
                <a:gd name="connsiteY7" fmla="*/ 1975138 h 1985528"/>
                <a:gd name="connsiteX8" fmla="*/ 1153390 w 9501866"/>
                <a:gd name="connsiteY8" fmla="*/ 1829664 h 1985528"/>
                <a:gd name="connsiteX9" fmla="*/ 457200 w 9501866"/>
                <a:gd name="connsiteY9" fmla="*/ 1923182 h 1985528"/>
                <a:gd name="connsiteX10" fmla="*/ 114300 w 9501866"/>
                <a:gd name="connsiteY10" fmla="*/ 1985528 h 1985528"/>
                <a:gd name="connsiteX11" fmla="*/ 0 w 9501866"/>
                <a:gd name="connsiteY11" fmla="*/ 1569892 h 1985528"/>
                <a:gd name="connsiteX12" fmla="*/ 1478974 w 9501866"/>
                <a:gd name="connsiteY12" fmla="*/ 1298864 h 1985528"/>
                <a:gd name="connsiteX0" fmla="*/ 1387084 w 9389194"/>
                <a:gd name="connsiteY0" fmla="*/ 1236519 h 1985528"/>
                <a:gd name="connsiteX1" fmla="*/ 2124838 w 9389194"/>
                <a:gd name="connsiteY1" fmla="*/ 1236519 h 1985528"/>
                <a:gd name="connsiteX2" fmla="*/ 3039239 w 9389194"/>
                <a:gd name="connsiteY2" fmla="*/ 1194955 h 1985528"/>
                <a:gd name="connsiteX3" fmla="*/ 3517221 w 9389194"/>
                <a:gd name="connsiteY3" fmla="*/ 592282 h 1985528"/>
                <a:gd name="connsiteX4" fmla="*/ 3974420 w 9389194"/>
                <a:gd name="connsiteY4" fmla="*/ 83128 h 1985528"/>
                <a:gd name="connsiteX5" fmla="*/ 5927911 w 9389194"/>
                <a:gd name="connsiteY5" fmla="*/ 0 h 1985528"/>
                <a:gd name="connsiteX6" fmla="*/ 9374231 w 9389194"/>
                <a:gd name="connsiteY6" fmla="*/ 864 h 1985528"/>
                <a:gd name="connsiteX7" fmla="*/ 9384618 w 9389194"/>
                <a:gd name="connsiteY7" fmla="*/ 1975138 h 1985528"/>
                <a:gd name="connsiteX8" fmla="*/ 1040718 w 9389194"/>
                <a:gd name="connsiteY8" fmla="*/ 1829664 h 1985528"/>
                <a:gd name="connsiteX9" fmla="*/ 344528 w 9389194"/>
                <a:gd name="connsiteY9" fmla="*/ 1923182 h 1985528"/>
                <a:gd name="connsiteX10" fmla="*/ 1628 w 9389194"/>
                <a:gd name="connsiteY10" fmla="*/ 1985528 h 1985528"/>
                <a:gd name="connsiteX11" fmla="*/ 1269319 w 9389194"/>
                <a:gd name="connsiteY11" fmla="*/ 1611456 h 1985528"/>
                <a:gd name="connsiteX12" fmla="*/ 1366302 w 9389194"/>
                <a:gd name="connsiteY12" fmla="*/ 1298864 h 1985528"/>
                <a:gd name="connsiteX0" fmla="*/ 1387084 w 9389194"/>
                <a:gd name="connsiteY0" fmla="*/ 1236519 h 2099828"/>
                <a:gd name="connsiteX1" fmla="*/ 2124838 w 9389194"/>
                <a:gd name="connsiteY1" fmla="*/ 1236519 h 2099828"/>
                <a:gd name="connsiteX2" fmla="*/ 3039239 w 9389194"/>
                <a:gd name="connsiteY2" fmla="*/ 1194955 h 2099828"/>
                <a:gd name="connsiteX3" fmla="*/ 3517221 w 9389194"/>
                <a:gd name="connsiteY3" fmla="*/ 592282 h 2099828"/>
                <a:gd name="connsiteX4" fmla="*/ 3974420 w 9389194"/>
                <a:gd name="connsiteY4" fmla="*/ 83128 h 2099828"/>
                <a:gd name="connsiteX5" fmla="*/ 5927911 w 9389194"/>
                <a:gd name="connsiteY5" fmla="*/ 0 h 2099828"/>
                <a:gd name="connsiteX6" fmla="*/ 9374231 w 9389194"/>
                <a:gd name="connsiteY6" fmla="*/ 864 h 2099828"/>
                <a:gd name="connsiteX7" fmla="*/ 9384618 w 9389194"/>
                <a:gd name="connsiteY7" fmla="*/ 1975138 h 2099828"/>
                <a:gd name="connsiteX8" fmla="*/ 126318 w 9389194"/>
                <a:gd name="connsiteY8" fmla="*/ 2099828 h 2099828"/>
                <a:gd name="connsiteX9" fmla="*/ 344528 w 9389194"/>
                <a:gd name="connsiteY9" fmla="*/ 1923182 h 2099828"/>
                <a:gd name="connsiteX10" fmla="*/ 1628 w 9389194"/>
                <a:gd name="connsiteY10" fmla="*/ 1985528 h 2099828"/>
                <a:gd name="connsiteX11" fmla="*/ 1269319 w 9389194"/>
                <a:gd name="connsiteY11" fmla="*/ 1611456 h 2099828"/>
                <a:gd name="connsiteX12" fmla="*/ 1366302 w 9389194"/>
                <a:gd name="connsiteY12" fmla="*/ 1298864 h 2099828"/>
                <a:gd name="connsiteX0" fmla="*/ 1573929 w 9576039"/>
                <a:gd name="connsiteY0" fmla="*/ 1236519 h 2099828"/>
                <a:gd name="connsiteX1" fmla="*/ 2311683 w 9576039"/>
                <a:gd name="connsiteY1" fmla="*/ 1236519 h 2099828"/>
                <a:gd name="connsiteX2" fmla="*/ 3226084 w 9576039"/>
                <a:gd name="connsiteY2" fmla="*/ 1194955 h 2099828"/>
                <a:gd name="connsiteX3" fmla="*/ 3704066 w 9576039"/>
                <a:gd name="connsiteY3" fmla="*/ 592282 h 2099828"/>
                <a:gd name="connsiteX4" fmla="*/ 4161265 w 9576039"/>
                <a:gd name="connsiteY4" fmla="*/ 83128 h 2099828"/>
                <a:gd name="connsiteX5" fmla="*/ 6114756 w 9576039"/>
                <a:gd name="connsiteY5" fmla="*/ 0 h 2099828"/>
                <a:gd name="connsiteX6" fmla="*/ 9561076 w 9576039"/>
                <a:gd name="connsiteY6" fmla="*/ 864 h 2099828"/>
                <a:gd name="connsiteX7" fmla="*/ 9571463 w 9576039"/>
                <a:gd name="connsiteY7" fmla="*/ 1975138 h 2099828"/>
                <a:gd name="connsiteX8" fmla="*/ 313163 w 9576039"/>
                <a:gd name="connsiteY8" fmla="*/ 2099828 h 2099828"/>
                <a:gd name="connsiteX9" fmla="*/ 531373 w 9576039"/>
                <a:gd name="connsiteY9" fmla="*/ 1923182 h 2099828"/>
                <a:gd name="connsiteX10" fmla="*/ 1437 w 9576039"/>
                <a:gd name="connsiteY10" fmla="*/ 1320510 h 2099828"/>
                <a:gd name="connsiteX11" fmla="*/ 1456164 w 9576039"/>
                <a:gd name="connsiteY11" fmla="*/ 1611456 h 2099828"/>
                <a:gd name="connsiteX12" fmla="*/ 1553147 w 9576039"/>
                <a:gd name="connsiteY12" fmla="*/ 1298864 h 2099828"/>
                <a:gd name="connsiteX0" fmla="*/ 1573929 w 9576039"/>
                <a:gd name="connsiteY0" fmla="*/ 1236519 h 2099828"/>
                <a:gd name="connsiteX1" fmla="*/ 2311683 w 9576039"/>
                <a:gd name="connsiteY1" fmla="*/ 1236519 h 2099828"/>
                <a:gd name="connsiteX2" fmla="*/ 3226084 w 9576039"/>
                <a:gd name="connsiteY2" fmla="*/ 1194955 h 2099828"/>
                <a:gd name="connsiteX3" fmla="*/ 3704066 w 9576039"/>
                <a:gd name="connsiteY3" fmla="*/ 592282 h 2099828"/>
                <a:gd name="connsiteX4" fmla="*/ 4161265 w 9576039"/>
                <a:gd name="connsiteY4" fmla="*/ 83128 h 2099828"/>
                <a:gd name="connsiteX5" fmla="*/ 6114756 w 9576039"/>
                <a:gd name="connsiteY5" fmla="*/ 0 h 2099828"/>
                <a:gd name="connsiteX6" fmla="*/ 9561076 w 9576039"/>
                <a:gd name="connsiteY6" fmla="*/ 864 h 2099828"/>
                <a:gd name="connsiteX7" fmla="*/ 9571463 w 9576039"/>
                <a:gd name="connsiteY7" fmla="*/ 1975138 h 2099828"/>
                <a:gd name="connsiteX8" fmla="*/ 313163 w 9576039"/>
                <a:gd name="connsiteY8" fmla="*/ 2099828 h 2099828"/>
                <a:gd name="connsiteX9" fmla="*/ 126127 w 9576039"/>
                <a:gd name="connsiteY9" fmla="*/ 1923182 h 2099828"/>
                <a:gd name="connsiteX10" fmla="*/ 1437 w 9576039"/>
                <a:gd name="connsiteY10" fmla="*/ 1320510 h 2099828"/>
                <a:gd name="connsiteX11" fmla="*/ 1456164 w 9576039"/>
                <a:gd name="connsiteY11" fmla="*/ 1611456 h 2099828"/>
                <a:gd name="connsiteX12" fmla="*/ 1553147 w 9576039"/>
                <a:gd name="connsiteY12" fmla="*/ 1298864 h 2099828"/>
                <a:gd name="connsiteX0" fmla="*/ 1459741 w 9461851"/>
                <a:gd name="connsiteY0" fmla="*/ 1236519 h 2099828"/>
                <a:gd name="connsiteX1" fmla="*/ 2197495 w 9461851"/>
                <a:gd name="connsiteY1" fmla="*/ 1236519 h 2099828"/>
                <a:gd name="connsiteX2" fmla="*/ 3111896 w 9461851"/>
                <a:gd name="connsiteY2" fmla="*/ 1194955 h 2099828"/>
                <a:gd name="connsiteX3" fmla="*/ 3589878 w 9461851"/>
                <a:gd name="connsiteY3" fmla="*/ 592282 h 2099828"/>
                <a:gd name="connsiteX4" fmla="*/ 4047077 w 9461851"/>
                <a:gd name="connsiteY4" fmla="*/ 83128 h 2099828"/>
                <a:gd name="connsiteX5" fmla="*/ 6000568 w 9461851"/>
                <a:gd name="connsiteY5" fmla="*/ 0 h 2099828"/>
                <a:gd name="connsiteX6" fmla="*/ 9446888 w 9461851"/>
                <a:gd name="connsiteY6" fmla="*/ 864 h 2099828"/>
                <a:gd name="connsiteX7" fmla="*/ 9457275 w 9461851"/>
                <a:gd name="connsiteY7" fmla="*/ 1975138 h 2099828"/>
                <a:gd name="connsiteX8" fmla="*/ 198975 w 9461851"/>
                <a:gd name="connsiteY8" fmla="*/ 2099828 h 2099828"/>
                <a:gd name="connsiteX9" fmla="*/ 11939 w 9461851"/>
                <a:gd name="connsiteY9" fmla="*/ 1923182 h 2099828"/>
                <a:gd name="connsiteX10" fmla="*/ 1549 w 9461851"/>
                <a:gd name="connsiteY10" fmla="*/ 1278946 h 2099828"/>
                <a:gd name="connsiteX11" fmla="*/ 1341976 w 9461851"/>
                <a:gd name="connsiteY11" fmla="*/ 1611456 h 2099828"/>
                <a:gd name="connsiteX12" fmla="*/ 1438959 w 9461851"/>
                <a:gd name="connsiteY12" fmla="*/ 1298864 h 2099828"/>
                <a:gd name="connsiteX0" fmla="*/ 1645229 w 9647339"/>
                <a:gd name="connsiteY0" fmla="*/ 1236519 h 2099828"/>
                <a:gd name="connsiteX1" fmla="*/ 2382983 w 9647339"/>
                <a:gd name="connsiteY1" fmla="*/ 1236519 h 2099828"/>
                <a:gd name="connsiteX2" fmla="*/ 3297384 w 9647339"/>
                <a:gd name="connsiteY2" fmla="*/ 1194955 h 2099828"/>
                <a:gd name="connsiteX3" fmla="*/ 3775366 w 9647339"/>
                <a:gd name="connsiteY3" fmla="*/ 592282 h 2099828"/>
                <a:gd name="connsiteX4" fmla="*/ 4232565 w 9647339"/>
                <a:gd name="connsiteY4" fmla="*/ 83128 h 2099828"/>
                <a:gd name="connsiteX5" fmla="*/ 6186056 w 9647339"/>
                <a:gd name="connsiteY5" fmla="*/ 0 h 2099828"/>
                <a:gd name="connsiteX6" fmla="*/ 9632376 w 9647339"/>
                <a:gd name="connsiteY6" fmla="*/ 864 h 2099828"/>
                <a:gd name="connsiteX7" fmla="*/ 9642763 w 9647339"/>
                <a:gd name="connsiteY7" fmla="*/ 1975138 h 2099828"/>
                <a:gd name="connsiteX8" fmla="*/ 384463 w 9647339"/>
                <a:gd name="connsiteY8" fmla="*/ 2099828 h 2099828"/>
                <a:gd name="connsiteX9" fmla="*/ 0 w 9647339"/>
                <a:gd name="connsiteY9" fmla="*/ 1258163 h 2099828"/>
                <a:gd name="connsiteX10" fmla="*/ 187037 w 9647339"/>
                <a:gd name="connsiteY10" fmla="*/ 1278946 h 2099828"/>
                <a:gd name="connsiteX11" fmla="*/ 1527464 w 9647339"/>
                <a:gd name="connsiteY11" fmla="*/ 1611456 h 2099828"/>
                <a:gd name="connsiteX12" fmla="*/ 1624447 w 9647339"/>
                <a:gd name="connsiteY12" fmla="*/ 1298864 h 2099828"/>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87037 w 9647339"/>
                <a:gd name="connsiteY10" fmla="*/ 1278946 h 1995919"/>
                <a:gd name="connsiteX11" fmla="*/ 1527464 w 9647339"/>
                <a:gd name="connsiteY11" fmla="*/ 1611456 h 1995919"/>
                <a:gd name="connsiteX12" fmla="*/ 1624447 w 9647339"/>
                <a:gd name="connsiteY12" fmla="*/ 1298864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1527464 w 9647339"/>
                <a:gd name="connsiteY11" fmla="*/ 1611456 h 1995919"/>
                <a:gd name="connsiteX12" fmla="*/ 1624447 w 9647339"/>
                <a:gd name="connsiteY12" fmla="*/ 1298864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53292 w 9647339"/>
                <a:gd name="connsiteY11" fmla="*/ 1777711 h 1995919"/>
                <a:gd name="connsiteX12" fmla="*/ 1527464 w 9647339"/>
                <a:gd name="connsiteY12" fmla="*/ 1611456 h 1995919"/>
                <a:gd name="connsiteX13" fmla="*/ 1624447 w 9647339"/>
                <a:gd name="connsiteY13" fmla="*/ 1298864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53292 w 9647339"/>
                <a:gd name="connsiteY11" fmla="*/ 1777711 h 1995919"/>
                <a:gd name="connsiteX12" fmla="*/ 1548246 w 9647339"/>
                <a:gd name="connsiteY12" fmla="*/ 1871229 h 1995919"/>
                <a:gd name="connsiteX13" fmla="*/ 1624447 w 9647339"/>
                <a:gd name="connsiteY13" fmla="*/ 1298864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53292 w 9647339"/>
                <a:gd name="connsiteY11" fmla="*/ 1777711 h 1995919"/>
                <a:gd name="connsiteX12" fmla="*/ 1548246 w 9647339"/>
                <a:gd name="connsiteY12" fmla="*/ 1871229 h 1995919"/>
                <a:gd name="connsiteX13" fmla="*/ 1676401 w 9647339"/>
                <a:gd name="connsiteY13" fmla="*/ 1246909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53292 w 9647339"/>
                <a:gd name="connsiteY11" fmla="*/ 1777711 h 1995919"/>
                <a:gd name="connsiteX12" fmla="*/ 1548246 w 9647339"/>
                <a:gd name="connsiteY12" fmla="*/ 1871229 h 1995919"/>
                <a:gd name="connsiteX13" fmla="*/ 1759528 w 9647339"/>
                <a:gd name="connsiteY13" fmla="*/ 1288473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53292 w 9647339"/>
                <a:gd name="connsiteY11" fmla="*/ 1777711 h 1995919"/>
                <a:gd name="connsiteX12" fmla="*/ 1548246 w 9647339"/>
                <a:gd name="connsiteY12" fmla="*/ 1871229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53292 w 9647339"/>
                <a:gd name="connsiteY11" fmla="*/ 1777711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74073 w 9647339"/>
                <a:gd name="connsiteY11" fmla="*/ 1892011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74073 w 9647339"/>
                <a:gd name="connsiteY11" fmla="*/ 1892011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74073 w 9647339"/>
                <a:gd name="connsiteY11" fmla="*/ 1892011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87037 w 9647339"/>
                <a:gd name="connsiteY10" fmla="*/ 1247773 h 1995919"/>
                <a:gd name="connsiteX11" fmla="*/ 374073 w 9647339"/>
                <a:gd name="connsiteY11" fmla="*/ 1892011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37382 h 1995919"/>
                <a:gd name="connsiteX10" fmla="*/ 187037 w 9647339"/>
                <a:gd name="connsiteY10" fmla="*/ 1247773 h 1995919"/>
                <a:gd name="connsiteX11" fmla="*/ 374073 w 9647339"/>
                <a:gd name="connsiteY11" fmla="*/ 1892011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37382 h 1995919"/>
                <a:gd name="connsiteX10" fmla="*/ 187037 w 9647339"/>
                <a:gd name="connsiteY10" fmla="*/ 1247773 h 1995919"/>
                <a:gd name="connsiteX11" fmla="*/ 374073 w 9647339"/>
                <a:gd name="connsiteY11" fmla="*/ 1892011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37382 h 1995919"/>
                <a:gd name="connsiteX10" fmla="*/ 187037 w 9647339"/>
                <a:gd name="connsiteY10" fmla="*/ 1247773 h 1995919"/>
                <a:gd name="connsiteX11" fmla="*/ 374073 w 9647339"/>
                <a:gd name="connsiteY11" fmla="*/ 1892011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37382 h 1995919"/>
                <a:gd name="connsiteX10" fmla="*/ 187037 w 9647339"/>
                <a:gd name="connsiteY10" fmla="*/ 1247773 h 1995919"/>
                <a:gd name="connsiteX11" fmla="*/ 374073 w 9647339"/>
                <a:gd name="connsiteY11" fmla="*/ 1933574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37382 h 1995919"/>
                <a:gd name="connsiteX10" fmla="*/ 187037 w 9647339"/>
                <a:gd name="connsiteY10" fmla="*/ 1247773 h 1995919"/>
                <a:gd name="connsiteX11" fmla="*/ 384464 w 9647339"/>
                <a:gd name="connsiteY11" fmla="*/ 1902402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37382 h 1995919"/>
                <a:gd name="connsiteX10" fmla="*/ 187037 w 9647339"/>
                <a:gd name="connsiteY10" fmla="*/ 1247773 h 1995919"/>
                <a:gd name="connsiteX11" fmla="*/ 384464 w 9647339"/>
                <a:gd name="connsiteY11" fmla="*/ 1923184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37382 h 1995919"/>
                <a:gd name="connsiteX10" fmla="*/ 197428 w 9647339"/>
                <a:gd name="connsiteY10" fmla="*/ 1247773 h 1995919"/>
                <a:gd name="connsiteX11" fmla="*/ 384464 w 9647339"/>
                <a:gd name="connsiteY11" fmla="*/ 1923184 h 1995919"/>
                <a:gd name="connsiteX12" fmla="*/ 1485901 w 9647339"/>
                <a:gd name="connsiteY12" fmla="*/ 1912793 h 1995919"/>
                <a:gd name="connsiteX13" fmla="*/ 1655619 w 9647339"/>
                <a:gd name="connsiteY13" fmla="*/ 1267691 h 1995919"/>
                <a:gd name="connsiteX0" fmla="*/ 1645229 w 9647339"/>
                <a:gd name="connsiteY0" fmla="*/ 1236519 h 2000682"/>
                <a:gd name="connsiteX1" fmla="*/ 2382983 w 9647339"/>
                <a:gd name="connsiteY1" fmla="*/ 1236519 h 2000682"/>
                <a:gd name="connsiteX2" fmla="*/ 3297384 w 9647339"/>
                <a:gd name="connsiteY2" fmla="*/ 1194955 h 2000682"/>
                <a:gd name="connsiteX3" fmla="*/ 3775366 w 9647339"/>
                <a:gd name="connsiteY3" fmla="*/ 592282 h 2000682"/>
                <a:gd name="connsiteX4" fmla="*/ 4232565 w 9647339"/>
                <a:gd name="connsiteY4" fmla="*/ 83128 h 2000682"/>
                <a:gd name="connsiteX5" fmla="*/ 6186056 w 9647339"/>
                <a:gd name="connsiteY5" fmla="*/ 0 h 2000682"/>
                <a:gd name="connsiteX6" fmla="*/ 9632376 w 9647339"/>
                <a:gd name="connsiteY6" fmla="*/ 864 h 2000682"/>
                <a:gd name="connsiteX7" fmla="*/ 9642763 w 9647339"/>
                <a:gd name="connsiteY7" fmla="*/ 1975138 h 2000682"/>
                <a:gd name="connsiteX8" fmla="*/ 56284 w 9647339"/>
                <a:gd name="connsiteY8" fmla="*/ 2000682 h 2000682"/>
                <a:gd name="connsiteX9" fmla="*/ 0 w 9647339"/>
                <a:gd name="connsiteY9" fmla="*/ 1237382 h 2000682"/>
                <a:gd name="connsiteX10" fmla="*/ 197428 w 9647339"/>
                <a:gd name="connsiteY10" fmla="*/ 1247773 h 2000682"/>
                <a:gd name="connsiteX11" fmla="*/ 384464 w 9647339"/>
                <a:gd name="connsiteY11" fmla="*/ 1923184 h 2000682"/>
                <a:gd name="connsiteX12" fmla="*/ 1485901 w 9647339"/>
                <a:gd name="connsiteY12" fmla="*/ 1912793 h 2000682"/>
                <a:gd name="connsiteX13" fmla="*/ 1655619 w 9647339"/>
                <a:gd name="connsiteY13" fmla="*/ 1267691 h 2000682"/>
                <a:gd name="connsiteX0" fmla="*/ 1645229 w 9647339"/>
                <a:gd name="connsiteY0" fmla="*/ 1236519 h 2000682"/>
                <a:gd name="connsiteX1" fmla="*/ 2382983 w 9647339"/>
                <a:gd name="connsiteY1" fmla="*/ 1236519 h 2000682"/>
                <a:gd name="connsiteX2" fmla="*/ 3297384 w 9647339"/>
                <a:gd name="connsiteY2" fmla="*/ 1194955 h 2000682"/>
                <a:gd name="connsiteX3" fmla="*/ 3775366 w 9647339"/>
                <a:gd name="connsiteY3" fmla="*/ 592282 h 2000682"/>
                <a:gd name="connsiteX4" fmla="*/ 4232565 w 9647339"/>
                <a:gd name="connsiteY4" fmla="*/ 83128 h 2000682"/>
                <a:gd name="connsiteX5" fmla="*/ 6186056 w 9647339"/>
                <a:gd name="connsiteY5" fmla="*/ 0 h 2000682"/>
                <a:gd name="connsiteX6" fmla="*/ 9632376 w 9647339"/>
                <a:gd name="connsiteY6" fmla="*/ 864 h 2000682"/>
                <a:gd name="connsiteX7" fmla="*/ 9642763 w 9647339"/>
                <a:gd name="connsiteY7" fmla="*/ 1975138 h 2000682"/>
                <a:gd name="connsiteX8" fmla="*/ 56284 w 9647339"/>
                <a:gd name="connsiteY8" fmla="*/ 2000682 h 2000682"/>
                <a:gd name="connsiteX9" fmla="*/ 0 w 9647339"/>
                <a:gd name="connsiteY9" fmla="*/ 1237382 h 2000682"/>
                <a:gd name="connsiteX10" fmla="*/ 197428 w 9647339"/>
                <a:gd name="connsiteY10" fmla="*/ 1247773 h 2000682"/>
                <a:gd name="connsiteX11" fmla="*/ 384464 w 9647339"/>
                <a:gd name="connsiteY11" fmla="*/ 1923184 h 2000682"/>
                <a:gd name="connsiteX12" fmla="*/ 1485901 w 9647339"/>
                <a:gd name="connsiteY12" fmla="*/ 1912793 h 2000682"/>
                <a:gd name="connsiteX13" fmla="*/ 1655619 w 9647339"/>
                <a:gd name="connsiteY13" fmla="*/ 1267691 h 2000682"/>
                <a:gd name="connsiteX0" fmla="*/ 1640466 w 9642576"/>
                <a:gd name="connsiteY0" fmla="*/ 1236519 h 2000682"/>
                <a:gd name="connsiteX1" fmla="*/ 2378220 w 9642576"/>
                <a:gd name="connsiteY1" fmla="*/ 1236519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51521 w 9642576"/>
                <a:gd name="connsiteY8" fmla="*/ 2000682 h 2000682"/>
                <a:gd name="connsiteX9" fmla="*/ 0 w 9642576"/>
                <a:gd name="connsiteY9" fmla="*/ 1256432 h 2000682"/>
                <a:gd name="connsiteX10" fmla="*/ 192665 w 9642576"/>
                <a:gd name="connsiteY10" fmla="*/ 1247773 h 2000682"/>
                <a:gd name="connsiteX11" fmla="*/ 379701 w 9642576"/>
                <a:gd name="connsiteY11" fmla="*/ 1923184 h 2000682"/>
                <a:gd name="connsiteX12" fmla="*/ 1481138 w 9642576"/>
                <a:gd name="connsiteY12" fmla="*/ 1912793 h 2000682"/>
                <a:gd name="connsiteX13" fmla="*/ 1650856 w 9642576"/>
                <a:gd name="connsiteY13" fmla="*/ 1267691 h 2000682"/>
                <a:gd name="connsiteX0" fmla="*/ 1640466 w 9642576"/>
                <a:gd name="connsiteY0" fmla="*/ 1236519 h 2000682"/>
                <a:gd name="connsiteX1" fmla="*/ 2378220 w 9642576"/>
                <a:gd name="connsiteY1" fmla="*/ 1236519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51521 w 9642576"/>
                <a:gd name="connsiteY8" fmla="*/ 2000682 h 2000682"/>
                <a:gd name="connsiteX9" fmla="*/ 0 w 9642576"/>
                <a:gd name="connsiteY9" fmla="*/ 1251670 h 2000682"/>
                <a:gd name="connsiteX10" fmla="*/ 192665 w 9642576"/>
                <a:gd name="connsiteY10" fmla="*/ 1247773 h 2000682"/>
                <a:gd name="connsiteX11" fmla="*/ 379701 w 9642576"/>
                <a:gd name="connsiteY11" fmla="*/ 1923184 h 2000682"/>
                <a:gd name="connsiteX12" fmla="*/ 1481138 w 9642576"/>
                <a:gd name="connsiteY12" fmla="*/ 1912793 h 2000682"/>
                <a:gd name="connsiteX13" fmla="*/ 1650856 w 9642576"/>
                <a:gd name="connsiteY13" fmla="*/ 1267691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51521 w 9642576"/>
                <a:gd name="connsiteY8" fmla="*/ 2000682 h 2000682"/>
                <a:gd name="connsiteX9" fmla="*/ 0 w 9642576"/>
                <a:gd name="connsiteY9" fmla="*/ 1251670 h 2000682"/>
                <a:gd name="connsiteX10" fmla="*/ 192665 w 9642576"/>
                <a:gd name="connsiteY10" fmla="*/ 1247773 h 2000682"/>
                <a:gd name="connsiteX11" fmla="*/ 379701 w 9642576"/>
                <a:gd name="connsiteY11" fmla="*/ 1923184 h 2000682"/>
                <a:gd name="connsiteX12" fmla="*/ 1481138 w 9642576"/>
                <a:gd name="connsiteY12" fmla="*/ 1912793 h 2000682"/>
                <a:gd name="connsiteX13" fmla="*/ 1650856 w 9642576"/>
                <a:gd name="connsiteY13" fmla="*/ 1267691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51521 w 9642576"/>
                <a:gd name="connsiteY8" fmla="*/ 2000682 h 2000682"/>
                <a:gd name="connsiteX9" fmla="*/ 0 w 9642576"/>
                <a:gd name="connsiteY9" fmla="*/ 1251670 h 2000682"/>
                <a:gd name="connsiteX10" fmla="*/ 192665 w 9642576"/>
                <a:gd name="connsiteY10" fmla="*/ 1247773 h 2000682"/>
                <a:gd name="connsiteX11" fmla="*/ 379701 w 9642576"/>
                <a:gd name="connsiteY11" fmla="*/ 1923184 h 2000682"/>
                <a:gd name="connsiteX12" fmla="*/ 1481138 w 9642576"/>
                <a:gd name="connsiteY12" fmla="*/ 1912793 h 2000682"/>
                <a:gd name="connsiteX13" fmla="*/ 1650856 w 9642576"/>
                <a:gd name="connsiteY13" fmla="*/ 1267691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51521 w 9642576"/>
                <a:gd name="connsiteY8" fmla="*/ 2000682 h 2000682"/>
                <a:gd name="connsiteX9" fmla="*/ 0 w 9642576"/>
                <a:gd name="connsiteY9" fmla="*/ 1251670 h 2000682"/>
                <a:gd name="connsiteX10" fmla="*/ 192665 w 9642576"/>
                <a:gd name="connsiteY10" fmla="*/ 1247773 h 2000682"/>
                <a:gd name="connsiteX11" fmla="*/ 379701 w 9642576"/>
                <a:gd name="connsiteY11" fmla="*/ 1923184 h 2000682"/>
                <a:gd name="connsiteX12" fmla="*/ 1481138 w 9642576"/>
                <a:gd name="connsiteY12" fmla="*/ 1912793 h 2000682"/>
                <a:gd name="connsiteX13" fmla="*/ 1650856 w 9642576"/>
                <a:gd name="connsiteY13" fmla="*/ 1267691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51521 w 9642576"/>
                <a:gd name="connsiteY8" fmla="*/ 2000682 h 2000682"/>
                <a:gd name="connsiteX9" fmla="*/ 0 w 9642576"/>
                <a:gd name="connsiteY9" fmla="*/ 1251670 h 2000682"/>
                <a:gd name="connsiteX10" fmla="*/ 192665 w 9642576"/>
                <a:gd name="connsiteY10" fmla="*/ 1247773 h 2000682"/>
                <a:gd name="connsiteX11" fmla="*/ 379701 w 9642576"/>
                <a:gd name="connsiteY11" fmla="*/ 1923184 h 2000682"/>
                <a:gd name="connsiteX12" fmla="*/ 1481138 w 9642576"/>
                <a:gd name="connsiteY12" fmla="*/ 1912793 h 2000682"/>
                <a:gd name="connsiteX13" fmla="*/ 1655618 w 9642576"/>
                <a:gd name="connsiteY13" fmla="*/ 126292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51521 w 9642576"/>
                <a:gd name="connsiteY8" fmla="*/ 2000682 h 2000682"/>
                <a:gd name="connsiteX9" fmla="*/ 0 w 9642576"/>
                <a:gd name="connsiteY9" fmla="*/ 1251670 h 2000682"/>
                <a:gd name="connsiteX10" fmla="*/ 192665 w 9642576"/>
                <a:gd name="connsiteY10" fmla="*/ 1247773 h 2000682"/>
                <a:gd name="connsiteX11" fmla="*/ 379701 w 9642576"/>
                <a:gd name="connsiteY11" fmla="*/ 1923184 h 2000682"/>
                <a:gd name="connsiteX12" fmla="*/ 1481138 w 9642576"/>
                <a:gd name="connsiteY12" fmla="*/ 1912793 h 2000682"/>
                <a:gd name="connsiteX13" fmla="*/ 1646093 w 9642576"/>
                <a:gd name="connsiteY13"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51521 w 9642576"/>
                <a:gd name="connsiteY9" fmla="*/ 2000682 h 2000682"/>
                <a:gd name="connsiteX10" fmla="*/ 0 w 9642576"/>
                <a:gd name="connsiteY10" fmla="*/ 1251670 h 2000682"/>
                <a:gd name="connsiteX11" fmla="*/ 192665 w 9642576"/>
                <a:gd name="connsiteY11" fmla="*/ 1247773 h 2000682"/>
                <a:gd name="connsiteX12" fmla="*/ 379701 w 9642576"/>
                <a:gd name="connsiteY12" fmla="*/ 1923184 h 2000682"/>
                <a:gd name="connsiteX13" fmla="*/ 1481138 w 9642576"/>
                <a:gd name="connsiteY13" fmla="*/ 1912793 h 2000682"/>
                <a:gd name="connsiteX14" fmla="*/ 1646093 w 9642576"/>
                <a:gd name="connsiteY14" fmla="*/ 1243879 h 2000682"/>
                <a:gd name="connsiteX0" fmla="*/ 1640466 w 9642576"/>
                <a:gd name="connsiteY0" fmla="*/ 1236519 h 2074899"/>
                <a:gd name="connsiteX1" fmla="*/ 2378220 w 9642576"/>
                <a:gd name="connsiteY1" fmla="*/ 1250806 h 2074899"/>
                <a:gd name="connsiteX2" fmla="*/ 3292621 w 9642576"/>
                <a:gd name="connsiteY2" fmla="*/ 1194955 h 2074899"/>
                <a:gd name="connsiteX3" fmla="*/ 3770603 w 9642576"/>
                <a:gd name="connsiteY3" fmla="*/ 592282 h 2074899"/>
                <a:gd name="connsiteX4" fmla="*/ 4227802 w 9642576"/>
                <a:gd name="connsiteY4" fmla="*/ 83128 h 2074899"/>
                <a:gd name="connsiteX5" fmla="*/ 6181293 w 9642576"/>
                <a:gd name="connsiteY5" fmla="*/ 0 h 2074899"/>
                <a:gd name="connsiteX6" fmla="*/ 9627613 w 9642576"/>
                <a:gd name="connsiteY6" fmla="*/ 864 h 2074899"/>
                <a:gd name="connsiteX7" fmla="*/ 9638000 w 9642576"/>
                <a:gd name="connsiteY7" fmla="*/ 1975138 h 2074899"/>
                <a:gd name="connsiteX8" fmla="*/ 4298825 w 9642576"/>
                <a:gd name="connsiteY8" fmla="*/ 361089 h 2074899"/>
                <a:gd name="connsiteX9" fmla="*/ 1892828 w 9642576"/>
                <a:gd name="connsiteY9" fmla="*/ 1949590 h 2074899"/>
                <a:gd name="connsiteX10" fmla="*/ 51521 w 9642576"/>
                <a:gd name="connsiteY10" fmla="*/ 2000682 h 2074899"/>
                <a:gd name="connsiteX11" fmla="*/ 0 w 9642576"/>
                <a:gd name="connsiteY11" fmla="*/ 1251670 h 2074899"/>
                <a:gd name="connsiteX12" fmla="*/ 192665 w 9642576"/>
                <a:gd name="connsiteY12" fmla="*/ 1247773 h 2074899"/>
                <a:gd name="connsiteX13" fmla="*/ 379701 w 9642576"/>
                <a:gd name="connsiteY13" fmla="*/ 1923184 h 2074899"/>
                <a:gd name="connsiteX14" fmla="*/ 1481138 w 9642576"/>
                <a:gd name="connsiteY14" fmla="*/ 1912793 h 2074899"/>
                <a:gd name="connsiteX15" fmla="*/ 1646093 w 9642576"/>
                <a:gd name="connsiteY15" fmla="*/ 1243879 h 2074899"/>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1892828 w 9642576"/>
                <a:gd name="connsiteY9" fmla="*/ 1949590 h 2000682"/>
                <a:gd name="connsiteX10" fmla="*/ 51521 w 9642576"/>
                <a:gd name="connsiteY10" fmla="*/ 2000682 h 2000682"/>
                <a:gd name="connsiteX11" fmla="*/ 0 w 9642576"/>
                <a:gd name="connsiteY11" fmla="*/ 1251670 h 2000682"/>
                <a:gd name="connsiteX12" fmla="*/ 192665 w 9642576"/>
                <a:gd name="connsiteY12" fmla="*/ 1247773 h 2000682"/>
                <a:gd name="connsiteX13" fmla="*/ 379701 w 9642576"/>
                <a:gd name="connsiteY13" fmla="*/ 1923184 h 2000682"/>
                <a:gd name="connsiteX14" fmla="*/ 1481138 w 9642576"/>
                <a:gd name="connsiteY14" fmla="*/ 1912793 h 2000682"/>
                <a:gd name="connsiteX15" fmla="*/ 1646093 w 9642576"/>
                <a:gd name="connsiteY15" fmla="*/ 1243879 h 2000682"/>
                <a:gd name="connsiteX0" fmla="*/ 1640466 w 9642576"/>
                <a:gd name="connsiteY0" fmla="*/ 1236519 h 2026145"/>
                <a:gd name="connsiteX1" fmla="*/ 2378220 w 9642576"/>
                <a:gd name="connsiteY1" fmla="*/ 1250806 h 2026145"/>
                <a:gd name="connsiteX2" fmla="*/ 3292621 w 9642576"/>
                <a:gd name="connsiteY2" fmla="*/ 1194955 h 2026145"/>
                <a:gd name="connsiteX3" fmla="*/ 3770603 w 9642576"/>
                <a:gd name="connsiteY3" fmla="*/ 592282 h 2026145"/>
                <a:gd name="connsiteX4" fmla="*/ 4227802 w 9642576"/>
                <a:gd name="connsiteY4" fmla="*/ 83128 h 2026145"/>
                <a:gd name="connsiteX5" fmla="*/ 6181293 w 9642576"/>
                <a:gd name="connsiteY5" fmla="*/ 0 h 2026145"/>
                <a:gd name="connsiteX6" fmla="*/ 9627613 w 9642576"/>
                <a:gd name="connsiteY6" fmla="*/ 864 h 2026145"/>
                <a:gd name="connsiteX7" fmla="*/ 9638000 w 9642576"/>
                <a:gd name="connsiteY7" fmla="*/ 1975138 h 2026145"/>
                <a:gd name="connsiteX8" fmla="*/ 4298825 w 9642576"/>
                <a:gd name="connsiteY8" fmla="*/ 361089 h 2026145"/>
                <a:gd name="connsiteX9" fmla="*/ 1892828 w 9642576"/>
                <a:gd name="connsiteY9" fmla="*/ 2026145 h 2026145"/>
                <a:gd name="connsiteX10" fmla="*/ 51521 w 9642576"/>
                <a:gd name="connsiteY10" fmla="*/ 2000682 h 2026145"/>
                <a:gd name="connsiteX11" fmla="*/ 0 w 9642576"/>
                <a:gd name="connsiteY11" fmla="*/ 1251670 h 2026145"/>
                <a:gd name="connsiteX12" fmla="*/ 192665 w 9642576"/>
                <a:gd name="connsiteY12" fmla="*/ 1247773 h 2026145"/>
                <a:gd name="connsiteX13" fmla="*/ 379701 w 9642576"/>
                <a:gd name="connsiteY13" fmla="*/ 1923184 h 2026145"/>
                <a:gd name="connsiteX14" fmla="*/ 1481138 w 9642576"/>
                <a:gd name="connsiteY14" fmla="*/ 1912793 h 2026145"/>
                <a:gd name="connsiteX15" fmla="*/ 1646093 w 9642576"/>
                <a:gd name="connsiteY15" fmla="*/ 1243879 h 2026145"/>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1892828 w 9642576"/>
                <a:gd name="connsiteY9" fmla="*/ 1987868 h 2000682"/>
                <a:gd name="connsiteX10" fmla="*/ 51521 w 9642576"/>
                <a:gd name="connsiteY10" fmla="*/ 2000682 h 2000682"/>
                <a:gd name="connsiteX11" fmla="*/ 0 w 9642576"/>
                <a:gd name="connsiteY11" fmla="*/ 1251670 h 2000682"/>
                <a:gd name="connsiteX12" fmla="*/ 192665 w 9642576"/>
                <a:gd name="connsiteY12" fmla="*/ 1247773 h 2000682"/>
                <a:gd name="connsiteX13" fmla="*/ 379701 w 9642576"/>
                <a:gd name="connsiteY13" fmla="*/ 1923184 h 2000682"/>
                <a:gd name="connsiteX14" fmla="*/ 1481138 w 9642576"/>
                <a:gd name="connsiteY14" fmla="*/ 1912793 h 2000682"/>
                <a:gd name="connsiteX15" fmla="*/ 1646093 w 9642576"/>
                <a:gd name="connsiteY15"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1892828 w 9642576"/>
                <a:gd name="connsiteY9" fmla="*/ 1987868 h 2000682"/>
                <a:gd name="connsiteX10" fmla="*/ 51521 w 9642576"/>
                <a:gd name="connsiteY10" fmla="*/ 2000682 h 2000682"/>
                <a:gd name="connsiteX11" fmla="*/ 0 w 9642576"/>
                <a:gd name="connsiteY11" fmla="*/ 1251670 h 2000682"/>
                <a:gd name="connsiteX12" fmla="*/ 192665 w 9642576"/>
                <a:gd name="connsiteY12" fmla="*/ 1247773 h 2000682"/>
                <a:gd name="connsiteX13" fmla="*/ 379701 w 9642576"/>
                <a:gd name="connsiteY13" fmla="*/ 1923184 h 2000682"/>
                <a:gd name="connsiteX14" fmla="*/ 1481138 w 9642576"/>
                <a:gd name="connsiteY14" fmla="*/ 1912793 h 2000682"/>
                <a:gd name="connsiteX15" fmla="*/ 1646093 w 9642576"/>
                <a:gd name="connsiteY15"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2202313 w 9642576"/>
                <a:gd name="connsiteY9" fmla="*/ 1442419 h 2000682"/>
                <a:gd name="connsiteX10" fmla="*/ 1892828 w 9642576"/>
                <a:gd name="connsiteY10" fmla="*/ 1987868 h 2000682"/>
                <a:gd name="connsiteX11" fmla="*/ 51521 w 9642576"/>
                <a:gd name="connsiteY11" fmla="*/ 2000682 h 2000682"/>
                <a:gd name="connsiteX12" fmla="*/ 0 w 9642576"/>
                <a:gd name="connsiteY12" fmla="*/ 1251670 h 2000682"/>
                <a:gd name="connsiteX13" fmla="*/ 192665 w 9642576"/>
                <a:gd name="connsiteY13" fmla="*/ 1247773 h 2000682"/>
                <a:gd name="connsiteX14" fmla="*/ 379701 w 9642576"/>
                <a:gd name="connsiteY14" fmla="*/ 1923184 h 2000682"/>
                <a:gd name="connsiteX15" fmla="*/ 1481138 w 9642576"/>
                <a:gd name="connsiteY15" fmla="*/ 1912793 h 2000682"/>
                <a:gd name="connsiteX16" fmla="*/ 1646093 w 9642576"/>
                <a:gd name="connsiteY16"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2202313 w 9642576"/>
                <a:gd name="connsiteY9" fmla="*/ 1442419 h 2000682"/>
                <a:gd name="connsiteX10" fmla="*/ 1892828 w 9642576"/>
                <a:gd name="connsiteY10" fmla="*/ 1987868 h 2000682"/>
                <a:gd name="connsiteX11" fmla="*/ 51521 w 9642576"/>
                <a:gd name="connsiteY11" fmla="*/ 2000682 h 2000682"/>
                <a:gd name="connsiteX12" fmla="*/ 0 w 9642576"/>
                <a:gd name="connsiteY12" fmla="*/ 1251670 h 2000682"/>
                <a:gd name="connsiteX13" fmla="*/ 192665 w 9642576"/>
                <a:gd name="connsiteY13" fmla="*/ 1247773 h 2000682"/>
                <a:gd name="connsiteX14" fmla="*/ 379701 w 9642576"/>
                <a:gd name="connsiteY14" fmla="*/ 1923184 h 2000682"/>
                <a:gd name="connsiteX15" fmla="*/ 1481138 w 9642576"/>
                <a:gd name="connsiteY15" fmla="*/ 1912793 h 2000682"/>
                <a:gd name="connsiteX16" fmla="*/ 1646093 w 9642576"/>
                <a:gd name="connsiteY16"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2202313 w 9642576"/>
                <a:gd name="connsiteY9" fmla="*/ 1442419 h 2000682"/>
                <a:gd name="connsiteX10" fmla="*/ 1892828 w 9642576"/>
                <a:gd name="connsiteY10" fmla="*/ 1987868 h 2000682"/>
                <a:gd name="connsiteX11" fmla="*/ 51521 w 9642576"/>
                <a:gd name="connsiteY11" fmla="*/ 2000682 h 2000682"/>
                <a:gd name="connsiteX12" fmla="*/ 0 w 9642576"/>
                <a:gd name="connsiteY12" fmla="*/ 1251670 h 2000682"/>
                <a:gd name="connsiteX13" fmla="*/ 192665 w 9642576"/>
                <a:gd name="connsiteY13" fmla="*/ 1247773 h 2000682"/>
                <a:gd name="connsiteX14" fmla="*/ 379701 w 9642576"/>
                <a:gd name="connsiteY14" fmla="*/ 1923184 h 2000682"/>
                <a:gd name="connsiteX15" fmla="*/ 1481138 w 9642576"/>
                <a:gd name="connsiteY15" fmla="*/ 1912793 h 2000682"/>
                <a:gd name="connsiteX16" fmla="*/ 1646093 w 9642576"/>
                <a:gd name="connsiteY16"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2202313 w 9642576"/>
                <a:gd name="connsiteY9" fmla="*/ 1442419 h 2000682"/>
                <a:gd name="connsiteX10" fmla="*/ 1892828 w 9642576"/>
                <a:gd name="connsiteY10" fmla="*/ 1987868 h 2000682"/>
                <a:gd name="connsiteX11" fmla="*/ 51521 w 9642576"/>
                <a:gd name="connsiteY11" fmla="*/ 2000682 h 2000682"/>
                <a:gd name="connsiteX12" fmla="*/ 0 w 9642576"/>
                <a:gd name="connsiteY12" fmla="*/ 1251670 h 2000682"/>
                <a:gd name="connsiteX13" fmla="*/ 192665 w 9642576"/>
                <a:gd name="connsiteY13" fmla="*/ 1247773 h 2000682"/>
                <a:gd name="connsiteX14" fmla="*/ 379701 w 9642576"/>
                <a:gd name="connsiteY14" fmla="*/ 1923184 h 2000682"/>
                <a:gd name="connsiteX15" fmla="*/ 1481138 w 9642576"/>
                <a:gd name="connsiteY15" fmla="*/ 1912793 h 2000682"/>
                <a:gd name="connsiteX16" fmla="*/ 1646093 w 9642576"/>
                <a:gd name="connsiteY16"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1842912 w 9642576"/>
                <a:gd name="connsiteY9" fmla="*/ 1413710 h 2000682"/>
                <a:gd name="connsiteX10" fmla="*/ 1892828 w 9642576"/>
                <a:gd name="connsiteY10" fmla="*/ 1987868 h 2000682"/>
                <a:gd name="connsiteX11" fmla="*/ 51521 w 9642576"/>
                <a:gd name="connsiteY11" fmla="*/ 2000682 h 2000682"/>
                <a:gd name="connsiteX12" fmla="*/ 0 w 9642576"/>
                <a:gd name="connsiteY12" fmla="*/ 1251670 h 2000682"/>
                <a:gd name="connsiteX13" fmla="*/ 192665 w 9642576"/>
                <a:gd name="connsiteY13" fmla="*/ 1247773 h 2000682"/>
                <a:gd name="connsiteX14" fmla="*/ 379701 w 9642576"/>
                <a:gd name="connsiteY14" fmla="*/ 1923184 h 2000682"/>
                <a:gd name="connsiteX15" fmla="*/ 1481138 w 9642576"/>
                <a:gd name="connsiteY15" fmla="*/ 1912793 h 2000682"/>
                <a:gd name="connsiteX16" fmla="*/ 1646093 w 9642576"/>
                <a:gd name="connsiteY16"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1842912 w 9642576"/>
                <a:gd name="connsiteY9" fmla="*/ 1413710 h 2000682"/>
                <a:gd name="connsiteX10" fmla="*/ 1673194 w 9642576"/>
                <a:gd name="connsiteY10" fmla="*/ 1987868 h 2000682"/>
                <a:gd name="connsiteX11" fmla="*/ 51521 w 9642576"/>
                <a:gd name="connsiteY11" fmla="*/ 2000682 h 2000682"/>
                <a:gd name="connsiteX12" fmla="*/ 0 w 9642576"/>
                <a:gd name="connsiteY12" fmla="*/ 1251670 h 2000682"/>
                <a:gd name="connsiteX13" fmla="*/ 192665 w 9642576"/>
                <a:gd name="connsiteY13" fmla="*/ 1247773 h 2000682"/>
                <a:gd name="connsiteX14" fmla="*/ 379701 w 9642576"/>
                <a:gd name="connsiteY14" fmla="*/ 1923184 h 2000682"/>
                <a:gd name="connsiteX15" fmla="*/ 1481138 w 9642576"/>
                <a:gd name="connsiteY15" fmla="*/ 1912793 h 2000682"/>
                <a:gd name="connsiteX16" fmla="*/ 1646093 w 9642576"/>
                <a:gd name="connsiteY16"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58892 w 9642576"/>
                <a:gd name="connsiteY8" fmla="*/ 284534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498494 w 9642576"/>
                <a:gd name="connsiteY8" fmla="*/ 284534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498494 w 9642576"/>
                <a:gd name="connsiteY8" fmla="*/ 284534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498494 w 9642576"/>
                <a:gd name="connsiteY8" fmla="*/ 284534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498494 w 9642576"/>
                <a:gd name="connsiteY8" fmla="*/ 284534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38105"/>
                <a:gd name="connsiteY0" fmla="*/ 1236519 h 2000682"/>
                <a:gd name="connsiteX1" fmla="*/ 2378220 w 9638105"/>
                <a:gd name="connsiteY1" fmla="*/ 1250806 h 2000682"/>
                <a:gd name="connsiteX2" fmla="*/ 3292621 w 9638105"/>
                <a:gd name="connsiteY2" fmla="*/ 1194955 h 2000682"/>
                <a:gd name="connsiteX3" fmla="*/ 3770603 w 9638105"/>
                <a:gd name="connsiteY3" fmla="*/ 592282 h 2000682"/>
                <a:gd name="connsiteX4" fmla="*/ 4227802 w 9638105"/>
                <a:gd name="connsiteY4" fmla="*/ 83128 h 2000682"/>
                <a:gd name="connsiteX5" fmla="*/ 6181293 w 9638105"/>
                <a:gd name="connsiteY5" fmla="*/ 0 h 2000682"/>
                <a:gd name="connsiteX6" fmla="*/ 9627613 w 9638105"/>
                <a:gd name="connsiteY6" fmla="*/ 864 h 2000682"/>
                <a:gd name="connsiteX7" fmla="*/ 9638000 w 9638105"/>
                <a:gd name="connsiteY7" fmla="*/ 1975138 h 2000682"/>
                <a:gd name="connsiteX8" fmla="*/ 4498494 w 9638105"/>
                <a:gd name="connsiteY8" fmla="*/ 284534 h 2000682"/>
                <a:gd name="connsiteX9" fmla="*/ 3300486 w 9638105"/>
                <a:gd name="connsiteY9" fmla="*/ 1375433 h 2000682"/>
                <a:gd name="connsiteX10" fmla="*/ 1842912 w 9638105"/>
                <a:gd name="connsiteY10" fmla="*/ 1413710 h 2000682"/>
                <a:gd name="connsiteX11" fmla="*/ 1673194 w 9638105"/>
                <a:gd name="connsiteY11" fmla="*/ 1987868 h 2000682"/>
                <a:gd name="connsiteX12" fmla="*/ 51521 w 9638105"/>
                <a:gd name="connsiteY12" fmla="*/ 2000682 h 2000682"/>
                <a:gd name="connsiteX13" fmla="*/ 0 w 9638105"/>
                <a:gd name="connsiteY13" fmla="*/ 1251670 h 2000682"/>
                <a:gd name="connsiteX14" fmla="*/ 192665 w 9638105"/>
                <a:gd name="connsiteY14" fmla="*/ 1247773 h 2000682"/>
                <a:gd name="connsiteX15" fmla="*/ 379701 w 9638105"/>
                <a:gd name="connsiteY15" fmla="*/ 1923184 h 2000682"/>
                <a:gd name="connsiteX16" fmla="*/ 1481138 w 9638105"/>
                <a:gd name="connsiteY16" fmla="*/ 1912793 h 2000682"/>
                <a:gd name="connsiteX17" fmla="*/ 1646093 w 9638105"/>
                <a:gd name="connsiteY17" fmla="*/ 1243879 h 2000682"/>
                <a:gd name="connsiteX0" fmla="*/ 1640466 w 9638105"/>
                <a:gd name="connsiteY0" fmla="*/ 1236519 h 2000682"/>
                <a:gd name="connsiteX1" fmla="*/ 2378220 w 9638105"/>
                <a:gd name="connsiteY1" fmla="*/ 1250806 h 2000682"/>
                <a:gd name="connsiteX2" fmla="*/ 3292621 w 9638105"/>
                <a:gd name="connsiteY2" fmla="*/ 1194955 h 2000682"/>
                <a:gd name="connsiteX3" fmla="*/ 3770603 w 9638105"/>
                <a:gd name="connsiteY3" fmla="*/ 592282 h 2000682"/>
                <a:gd name="connsiteX4" fmla="*/ 4227802 w 9638105"/>
                <a:gd name="connsiteY4" fmla="*/ 83128 h 2000682"/>
                <a:gd name="connsiteX5" fmla="*/ 6181293 w 9638105"/>
                <a:gd name="connsiteY5" fmla="*/ 0 h 2000682"/>
                <a:gd name="connsiteX6" fmla="*/ 9627613 w 9638105"/>
                <a:gd name="connsiteY6" fmla="*/ 864 h 2000682"/>
                <a:gd name="connsiteX7" fmla="*/ 9638001 w 9638105"/>
                <a:gd name="connsiteY7" fmla="*/ 348360 h 2000682"/>
                <a:gd name="connsiteX8" fmla="*/ 4498494 w 9638105"/>
                <a:gd name="connsiteY8" fmla="*/ 284534 h 2000682"/>
                <a:gd name="connsiteX9" fmla="*/ 3300486 w 9638105"/>
                <a:gd name="connsiteY9" fmla="*/ 1375433 h 2000682"/>
                <a:gd name="connsiteX10" fmla="*/ 1842912 w 9638105"/>
                <a:gd name="connsiteY10" fmla="*/ 1413710 h 2000682"/>
                <a:gd name="connsiteX11" fmla="*/ 1673194 w 9638105"/>
                <a:gd name="connsiteY11" fmla="*/ 1987868 h 2000682"/>
                <a:gd name="connsiteX12" fmla="*/ 51521 w 9638105"/>
                <a:gd name="connsiteY12" fmla="*/ 2000682 h 2000682"/>
                <a:gd name="connsiteX13" fmla="*/ 0 w 9638105"/>
                <a:gd name="connsiteY13" fmla="*/ 1251670 h 2000682"/>
                <a:gd name="connsiteX14" fmla="*/ 192665 w 9638105"/>
                <a:gd name="connsiteY14" fmla="*/ 1247773 h 2000682"/>
                <a:gd name="connsiteX15" fmla="*/ 379701 w 9638105"/>
                <a:gd name="connsiteY15" fmla="*/ 1923184 h 2000682"/>
                <a:gd name="connsiteX16" fmla="*/ 1481138 w 9638105"/>
                <a:gd name="connsiteY16" fmla="*/ 1912793 h 2000682"/>
                <a:gd name="connsiteX17" fmla="*/ 1646093 w 9638105"/>
                <a:gd name="connsiteY17" fmla="*/ 1243879 h 2000682"/>
                <a:gd name="connsiteX0" fmla="*/ 1640466 w 9638001"/>
                <a:gd name="connsiteY0" fmla="*/ 1236519 h 2000682"/>
                <a:gd name="connsiteX1" fmla="*/ 2378220 w 9638001"/>
                <a:gd name="connsiteY1" fmla="*/ 1250806 h 2000682"/>
                <a:gd name="connsiteX2" fmla="*/ 3292621 w 9638001"/>
                <a:gd name="connsiteY2" fmla="*/ 1194955 h 2000682"/>
                <a:gd name="connsiteX3" fmla="*/ 3770603 w 9638001"/>
                <a:gd name="connsiteY3" fmla="*/ 592282 h 2000682"/>
                <a:gd name="connsiteX4" fmla="*/ 4227802 w 9638001"/>
                <a:gd name="connsiteY4" fmla="*/ 83128 h 2000682"/>
                <a:gd name="connsiteX5" fmla="*/ 6181293 w 9638001"/>
                <a:gd name="connsiteY5" fmla="*/ 0 h 2000682"/>
                <a:gd name="connsiteX6" fmla="*/ 9627613 w 9638001"/>
                <a:gd name="connsiteY6" fmla="*/ 864 h 2000682"/>
                <a:gd name="connsiteX7" fmla="*/ 9638001 w 9638001"/>
                <a:gd name="connsiteY7" fmla="*/ 348360 h 2000682"/>
                <a:gd name="connsiteX8" fmla="*/ 4498494 w 9638001"/>
                <a:gd name="connsiteY8" fmla="*/ 284534 h 2000682"/>
                <a:gd name="connsiteX9" fmla="*/ 3300486 w 9638001"/>
                <a:gd name="connsiteY9" fmla="*/ 1375433 h 2000682"/>
                <a:gd name="connsiteX10" fmla="*/ 1842912 w 9638001"/>
                <a:gd name="connsiteY10" fmla="*/ 1413710 h 2000682"/>
                <a:gd name="connsiteX11" fmla="*/ 1673194 w 9638001"/>
                <a:gd name="connsiteY11" fmla="*/ 1987868 h 2000682"/>
                <a:gd name="connsiteX12" fmla="*/ 51521 w 9638001"/>
                <a:gd name="connsiteY12" fmla="*/ 2000682 h 2000682"/>
                <a:gd name="connsiteX13" fmla="*/ 0 w 9638001"/>
                <a:gd name="connsiteY13" fmla="*/ 1251670 h 2000682"/>
                <a:gd name="connsiteX14" fmla="*/ 192665 w 9638001"/>
                <a:gd name="connsiteY14" fmla="*/ 1247773 h 2000682"/>
                <a:gd name="connsiteX15" fmla="*/ 379701 w 9638001"/>
                <a:gd name="connsiteY15" fmla="*/ 1923184 h 2000682"/>
                <a:gd name="connsiteX16" fmla="*/ 1481138 w 9638001"/>
                <a:gd name="connsiteY16" fmla="*/ 1912793 h 2000682"/>
                <a:gd name="connsiteX17" fmla="*/ 1646093 w 9638001"/>
                <a:gd name="connsiteY17" fmla="*/ 1243879 h 2000682"/>
                <a:gd name="connsiteX0" fmla="*/ 1640466 w 9638001"/>
                <a:gd name="connsiteY0" fmla="*/ 1236519 h 2000682"/>
                <a:gd name="connsiteX1" fmla="*/ 2378220 w 9638001"/>
                <a:gd name="connsiteY1" fmla="*/ 1250806 h 2000682"/>
                <a:gd name="connsiteX2" fmla="*/ 3292621 w 9638001"/>
                <a:gd name="connsiteY2" fmla="*/ 1194955 h 2000682"/>
                <a:gd name="connsiteX3" fmla="*/ 3770603 w 9638001"/>
                <a:gd name="connsiteY3" fmla="*/ 592282 h 2000682"/>
                <a:gd name="connsiteX4" fmla="*/ 4227802 w 9638001"/>
                <a:gd name="connsiteY4" fmla="*/ 83128 h 2000682"/>
                <a:gd name="connsiteX5" fmla="*/ 6181293 w 9638001"/>
                <a:gd name="connsiteY5" fmla="*/ 0 h 2000682"/>
                <a:gd name="connsiteX6" fmla="*/ 9627613 w 9638001"/>
                <a:gd name="connsiteY6" fmla="*/ 864 h 2000682"/>
                <a:gd name="connsiteX7" fmla="*/ 9638001 w 9638001"/>
                <a:gd name="connsiteY7" fmla="*/ 262236 h 2000682"/>
                <a:gd name="connsiteX8" fmla="*/ 4498494 w 9638001"/>
                <a:gd name="connsiteY8" fmla="*/ 284534 h 2000682"/>
                <a:gd name="connsiteX9" fmla="*/ 3300486 w 9638001"/>
                <a:gd name="connsiteY9" fmla="*/ 1375433 h 2000682"/>
                <a:gd name="connsiteX10" fmla="*/ 1842912 w 9638001"/>
                <a:gd name="connsiteY10" fmla="*/ 1413710 h 2000682"/>
                <a:gd name="connsiteX11" fmla="*/ 1673194 w 9638001"/>
                <a:gd name="connsiteY11" fmla="*/ 1987868 h 2000682"/>
                <a:gd name="connsiteX12" fmla="*/ 51521 w 9638001"/>
                <a:gd name="connsiteY12" fmla="*/ 2000682 h 2000682"/>
                <a:gd name="connsiteX13" fmla="*/ 0 w 9638001"/>
                <a:gd name="connsiteY13" fmla="*/ 1251670 h 2000682"/>
                <a:gd name="connsiteX14" fmla="*/ 192665 w 9638001"/>
                <a:gd name="connsiteY14" fmla="*/ 1247773 h 2000682"/>
                <a:gd name="connsiteX15" fmla="*/ 379701 w 9638001"/>
                <a:gd name="connsiteY15" fmla="*/ 1923184 h 2000682"/>
                <a:gd name="connsiteX16" fmla="*/ 1481138 w 9638001"/>
                <a:gd name="connsiteY16" fmla="*/ 1912793 h 2000682"/>
                <a:gd name="connsiteX17" fmla="*/ 1646093 w 9638001"/>
                <a:gd name="connsiteY17" fmla="*/ 1243879 h 2000682"/>
                <a:gd name="connsiteX0" fmla="*/ 1640466 w 9638001"/>
                <a:gd name="connsiteY0" fmla="*/ 1236519 h 2000682"/>
                <a:gd name="connsiteX1" fmla="*/ 2378220 w 9638001"/>
                <a:gd name="connsiteY1" fmla="*/ 1250806 h 2000682"/>
                <a:gd name="connsiteX2" fmla="*/ 3292621 w 9638001"/>
                <a:gd name="connsiteY2" fmla="*/ 1194955 h 2000682"/>
                <a:gd name="connsiteX3" fmla="*/ 3770603 w 9638001"/>
                <a:gd name="connsiteY3" fmla="*/ 592282 h 2000682"/>
                <a:gd name="connsiteX4" fmla="*/ 4227802 w 9638001"/>
                <a:gd name="connsiteY4" fmla="*/ 83128 h 2000682"/>
                <a:gd name="connsiteX5" fmla="*/ 6181293 w 9638001"/>
                <a:gd name="connsiteY5" fmla="*/ 0 h 2000682"/>
                <a:gd name="connsiteX6" fmla="*/ 9627613 w 9638001"/>
                <a:gd name="connsiteY6" fmla="*/ 864 h 2000682"/>
                <a:gd name="connsiteX7" fmla="*/ 9638001 w 9638001"/>
                <a:gd name="connsiteY7" fmla="*/ 262236 h 2000682"/>
                <a:gd name="connsiteX8" fmla="*/ 4498494 w 9638001"/>
                <a:gd name="connsiteY8" fmla="*/ 188841 h 2000682"/>
                <a:gd name="connsiteX9" fmla="*/ 3300486 w 9638001"/>
                <a:gd name="connsiteY9" fmla="*/ 1375433 h 2000682"/>
                <a:gd name="connsiteX10" fmla="*/ 1842912 w 9638001"/>
                <a:gd name="connsiteY10" fmla="*/ 1413710 h 2000682"/>
                <a:gd name="connsiteX11" fmla="*/ 1673194 w 9638001"/>
                <a:gd name="connsiteY11" fmla="*/ 1987868 h 2000682"/>
                <a:gd name="connsiteX12" fmla="*/ 51521 w 9638001"/>
                <a:gd name="connsiteY12" fmla="*/ 2000682 h 2000682"/>
                <a:gd name="connsiteX13" fmla="*/ 0 w 9638001"/>
                <a:gd name="connsiteY13" fmla="*/ 1251670 h 2000682"/>
                <a:gd name="connsiteX14" fmla="*/ 192665 w 9638001"/>
                <a:gd name="connsiteY14" fmla="*/ 1247773 h 2000682"/>
                <a:gd name="connsiteX15" fmla="*/ 379701 w 9638001"/>
                <a:gd name="connsiteY15" fmla="*/ 1923184 h 2000682"/>
                <a:gd name="connsiteX16" fmla="*/ 1481138 w 9638001"/>
                <a:gd name="connsiteY16" fmla="*/ 1912793 h 2000682"/>
                <a:gd name="connsiteX17" fmla="*/ 1646093 w 9638001"/>
                <a:gd name="connsiteY17" fmla="*/ 1243879 h 2000682"/>
                <a:gd name="connsiteX0" fmla="*/ 1640466 w 9638001"/>
                <a:gd name="connsiteY0" fmla="*/ 1236519 h 2000682"/>
                <a:gd name="connsiteX1" fmla="*/ 2378220 w 9638001"/>
                <a:gd name="connsiteY1" fmla="*/ 1250806 h 2000682"/>
                <a:gd name="connsiteX2" fmla="*/ 3292621 w 9638001"/>
                <a:gd name="connsiteY2" fmla="*/ 1194955 h 2000682"/>
                <a:gd name="connsiteX3" fmla="*/ 3770603 w 9638001"/>
                <a:gd name="connsiteY3" fmla="*/ 592282 h 2000682"/>
                <a:gd name="connsiteX4" fmla="*/ 4227802 w 9638001"/>
                <a:gd name="connsiteY4" fmla="*/ 83128 h 2000682"/>
                <a:gd name="connsiteX5" fmla="*/ 6181293 w 9638001"/>
                <a:gd name="connsiteY5" fmla="*/ 0 h 2000682"/>
                <a:gd name="connsiteX6" fmla="*/ 9627613 w 9638001"/>
                <a:gd name="connsiteY6" fmla="*/ 864 h 2000682"/>
                <a:gd name="connsiteX7" fmla="*/ 9638001 w 9638001"/>
                <a:gd name="connsiteY7" fmla="*/ 204820 h 2000682"/>
                <a:gd name="connsiteX8" fmla="*/ 4498494 w 9638001"/>
                <a:gd name="connsiteY8" fmla="*/ 188841 h 2000682"/>
                <a:gd name="connsiteX9" fmla="*/ 3300486 w 9638001"/>
                <a:gd name="connsiteY9" fmla="*/ 1375433 h 2000682"/>
                <a:gd name="connsiteX10" fmla="*/ 1842912 w 9638001"/>
                <a:gd name="connsiteY10" fmla="*/ 1413710 h 2000682"/>
                <a:gd name="connsiteX11" fmla="*/ 1673194 w 9638001"/>
                <a:gd name="connsiteY11" fmla="*/ 1987868 h 2000682"/>
                <a:gd name="connsiteX12" fmla="*/ 51521 w 9638001"/>
                <a:gd name="connsiteY12" fmla="*/ 2000682 h 2000682"/>
                <a:gd name="connsiteX13" fmla="*/ 0 w 9638001"/>
                <a:gd name="connsiteY13" fmla="*/ 1251670 h 2000682"/>
                <a:gd name="connsiteX14" fmla="*/ 192665 w 9638001"/>
                <a:gd name="connsiteY14" fmla="*/ 1247773 h 2000682"/>
                <a:gd name="connsiteX15" fmla="*/ 379701 w 9638001"/>
                <a:gd name="connsiteY15" fmla="*/ 1923184 h 2000682"/>
                <a:gd name="connsiteX16" fmla="*/ 1481138 w 9638001"/>
                <a:gd name="connsiteY16" fmla="*/ 1912793 h 2000682"/>
                <a:gd name="connsiteX17" fmla="*/ 1646093 w 9638001"/>
                <a:gd name="connsiteY17" fmla="*/ 1243879 h 2000682"/>
                <a:gd name="connsiteX0" fmla="*/ 1640466 w 9638001"/>
                <a:gd name="connsiteY0" fmla="*/ 1236519 h 2000682"/>
                <a:gd name="connsiteX1" fmla="*/ 2378220 w 9638001"/>
                <a:gd name="connsiteY1" fmla="*/ 1250806 h 2000682"/>
                <a:gd name="connsiteX2" fmla="*/ 3292621 w 9638001"/>
                <a:gd name="connsiteY2" fmla="*/ 1194955 h 2000682"/>
                <a:gd name="connsiteX3" fmla="*/ 3770603 w 9638001"/>
                <a:gd name="connsiteY3" fmla="*/ 592282 h 2000682"/>
                <a:gd name="connsiteX4" fmla="*/ 4227802 w 9638001"/>
                <a:gd name="connsiteY4" fmla="*/ 83128 h 2000682"/>
                <a:gd name="connsiteX5" fmla="*/ 6181293 w 9638001"/>
                <a:gd name="connsiteY5" fmla="*/ 0 h 2000682"/>
                <a:gd name="connsiteX6" fmla="*/ 9627613 w 9638001"/>
                <a:gd name="connsiteY6" fmla="*/ 864 h 2000682"/>
                <a:gd name="connsiteX7" fmla="*/ 9638001 w 9638001"/>
                <a:gd name="connsiteY7" fmla="*/ 204820 h 2000682"/>
                <a:gd name="connsiteX8" fmla="*/ 4498494 w 9638001"/>
                <a:gd name="connsiteY8" fmla="*/ 188841 h 2000682"/>
                <a:gd name="connsiteX9" fmla="*/ 3300486 w 9638001"/>
                <a:gd name="connsiteY9" fmla="*/ 1375433 h 2000682"/>
                <a:gd name="connsiteX10" fmla="*/ 1842912 w 9638001"/>
                <a:gd name="connsiteY10" fmla="*/ 1413710 h 2000682"/>
                <a:gd name="connsiteX11" fmla="*/ 1673194 w 9638001"/>
                <a:gd name="connsiteY11" fmla="*/ 1987868 h 2000682"/>
                <a:gd name="connsiteX12" fmla="*/ 51521 w 9638001"/>
                <a:gd name="connsiteY12" fmla="*/ 2000682 h 2000682"/>
                <a:gd name="connsiteX13" fmla="*/ 0 w 9638001"/>
                <a:gd name="connsiteY13" fmla="*/ 1251670 h 2000682"/>
                <a:gd name="connsiteX14" fmla="*/ 192665 w 9638001"/>
                <a:gd name="connsiteY14" fmla="*/ 1247773 h 2000682"/>
                <a:gd name="connsiteX15" fmla="*/ 379701 w 9638001"/>
                <a:gd name="connsiteY15" fmla="*/ 1923184 h 2000682"/>
                <a:gd name="connsiteX16" fmla="*/ 1481138 w 9638001"/>
                <a:gd name="connsiteY16" fmla="*/ 1912793 h 2000682"/>
                <a:gd name="connsiteX17" fmla="*/ 1646093 w 9638001"/>
                <a:gd name="connsiteY17" fmla="*/ 1243879 h 2000682"/>
                <a:gd name="connsiteX0" fmla="*/ 1640466 w 9638001"/>
                <a:gd name="connsiteY0" fmla="*/ 1236519 h 2000682"/>
                <a:gd name="connsiteX1" fmla="*/ 2378220 w 9638001"/>
                <a:gd name="connsiteY1" fmla="*/ 1250806 h 2000682"/>
                <a:gd name="connsiteX2" fmla="*/ 3292621 w 9638001"/>
                <a:gd name="connsiteY2" fmla="*/ 1194955 h 2000682"/>
                <a:gd name="connsiteX3" fmla="*/ 3770603 w 9638001"/>
                <a:gd name="connsiteY3" fmla="*/ 592282 h 2000682"/>
                <a:gd name="connsiteX4" fmla="*/ 4227802 w 9638001"/>
                <a:gd name="connsiteY4" fmla="*/ 83128 h 2000682"/>
                <a:gd name="connsiteX5" fmla="*/ 6181293 w 9638001"/>
                <a:gd name="connsiteY5" fmla="*/ 0 h 2000682"/>
                <a:gd name="connsiteX6" fmla="*/ 9627613 w 9638001"/>
                <a:gd name="connsiteY6" fmla="*/ 864 h 2000682"/>
                <a:gd name="connsiteX7" fmla="*/ 9638001 w 9638001"/>
                <a:gd name="connsiteY7" fmla="*/ 204820 h 2000682"/>
                <a:gd name="connsiteX8" fmla="*/ 4498494 w 9638001"/>
                <a:gd name="connsiteY8" fmla="*/ 188841 h 2000682"/>
                <a:gd name="connsiteX9" fmla="*/ 3300486 w 9638001"/>
                <a:gd name="connsiteY9" fmla="*/ 1375433 h 2000682"/>
                <a:gd name="connsiteX10" fmla="*/ 1842912 w 9638001"/>
                <a:gd name="connsiteY10" fmla="*/ 1413710 h 2000682"/>
                <a:gd name="connsiteX11" fmla="*/ 1673194 w 9638001"/>
                <a:gd name="connsiteY11" fmla="*/ 1987868 h 2000682"/>
                <a:gd name="connsiteX12" fmla="*/ 51521 w 9638001"/>
                <a:gd name="connsiteY12" fmla="*/ 2000682 h 2000682"/>
                <a:gd name="connsiteX13" fmla="*/ 0 w 9638001"/>
                <a:gd name="connsiteY13" fmla="*/ 1251670 h 2000682"/>
                <a:gd name="connsiteX14" fmla="*/ 192665 w 9638001"/>
                <a:gd name="connsiteY14" fmla="*/ 1247773 h 2000682"/>
                <a:gd name="connsiteX15" fmla="*/ 379701 w 9638001"/>
                <a:gd name="connsiteY15" fmla="*/ 1923184 h 2000682"/>
                <a:gd name="connsiteX16" fmla="*/ 1481138 w 9638001"/>
                <a:gd name="connsiteY16" fmla="*/ 1912793 h 2000682"/>
                <a:gd name="connsiteX17" fmla="*/ 1646093 w 9638001"/>
                <a:gd name="connsiteY17" fmla="*/ 1243879 h 2000682"/>
                <a:gd name="connsiteX0" fmla="*/ 1640466 w 9638001"/>
                <a:gd name="connsiteY0" fmla="*/ 1236519 h 2000682"/>
                <a:gd name="connsiteX1" fmla="*/ 2378220 w 9638001"/>
                <a:gd name="connsiteY1" fmla="*/ 1250806 h 2000682"/>
                <a:gd name="connsiteX2" fmla="*/ 3292621 w 9638001"/>
                <a:gd name="connsiteY2" fmla="*/ 1194955 h 2000682"/>
                <a:gd name="connsiteX3" fmla="*/ 3770603 w 9638001"/>
                <a:gd name="connsiteY3" fmla="*/ 592282 h 2000682"/>
                <a:gd name="connsiteX4" fmla="*/ 4227802 w 9638001"/>
                <a:gd name="connsiteY4" fmla="*/ 83128 h 2000682"/>
                <a:gd name="connsiteX5" fmla="*/ 6181293 w 9638001"/>
                <a:gd name="connsiteY5" fmla="*/ 0 h 2000682"/>
                <a:gd name="connsiteX6" fmla="*/ 9627613 w 9638001"/>
                <a:gd name="connsiteY6" fmla="*/ 864 h 2000682"/>
                <a:gd name="connsiteX7" fmla="*/ 9638001 w 9638001"/>
                <a:gd name="connsiteY7" fmla="*/ 204820 h 2000682"/>
                <a:gd name="connsiteX8" fmla="*/ 4498494 w 9638001"/>
                <a:gd name="connsiteY8" fmla="*/ 188841 h 2000682"/>
                <a:gd name="connsiteX9" fmla="*/ 3300486 w 9638001"/>
                <a:gd name="connsiteY9" fmla="*/ 1375433 h 2000682"/>
                <a:gd name="connsiteX10" fmla="*/ 1842912 w 9638001"/>
                <a:gd name="connsiteY10" fmla="*/ 1413710 h 2000682"/>
                <a:gd name="connsiteX11" fmla="*/ 1673194 w 9638001"/>
                <a:gd name="connsiteY11" fmla="*/ 1987868 h 2000682"/>
                <a:gd name="connsiteX12" fmla="*/ 51521 w 9638001"/>
                <a:gd name="connsiteY12" fmla="*/ 2000682 h 2000682"/>
                <a:gd name="connsiteX13" fmla="*/ 0 w 9638001"/>
                <a:gd name="connsiteY13" fmla="*/ 1251670 h 2000682"/>
                <a:gd name="connsiteX14" fmla="*/ 192665 w 9638001"/>
                <a:gd name="connsiteY14" fmla="*/ 1247773 h 2000682"/>
                <a:gd name="connsiteX15" fmla="*/ 379701 w 9638001"/>
                <a:gd name="connsiteY15" fmla="*/ 1923184 h 2000682"/>
                <a:gd name="connsiteX16" fmla="*/ 1481138 w 9638001"/>
                <a:gd name="connsiteY16" fmla="*/ 1912793 h 2000682"/>
                <a:gd name="connsiteX17" fmla="*/ 1646093 w 9638001"/>
                <a:gd name="connsiteY17" fmla="*/ 1243879 h 2000682"/>
                <a:gd name="connsiteX0" fmla="*/ 1640466 w 12521223"/>
                <a:gd name="connsiteY0" fmla="*/ 1236519 h 2000682"/>
                <a:gd name="connsiteX1" fmla="*/ 2378220 w 12521223"/>
                <a:gd name="connsiteY1" fmla="*/ 1250806 h 2000682"/>
                <a:gd name="connsiteX2" fmla="*/ 3292621 w 12521223"/>
                <a:gd name="connsiteY2" fmla="*/ 1194955 h 2000682"/>
                <a:gd name="connsiteX3" fmla="*/ 3770603 w 12521223"/>
                <a:gd name="connsiteY3" fmla="*/ 592282 h 2000682"/>
                <a:gd name="connsiteX4" fmla="*/ 4227802 w 12521223"/>
                <a:gd name="connsiteY4" fmla="*/ 83128 h 2000682"/>
                <a:gd name="connsiteX5" fmla="*/ 6181293 w 12521223"/>
                <a:gd name="connsiteY5" fmla="*/ 0 h 2000682"/>
                <a:gd name="connsiteX6" fmla="*/ 12521132 w 12521223"/>
                <a:gd name="connsiteY6" fmla="*/ 4552 h 2000682"/>
                <a:gd name="connsiteX7" fmla="*/ 9638001 w 12521223"/>
                <a:gd name="connsiteY7" fmla="*/ 204820 h 2000682"/>
                <a:gd name="connsiteX8" fmla="*/ 4498494 w 12521223"/>
                <a:gd name="connsiteY8" fmla="*/ 188841 h 2000682"/>
                <a:gd name="connsiteX9" fmla="*/ 3300486 w 12521223"/>
                <a:gd name="connsiteY9" fmla="*/ 1375433 h 2000682"/>
                <a:gd name="connsiteX10" fmla="*/ 1842912 w 12521223"/>
                <a:gd name="connsiteY10" fmla="*/ 1413710 h 2000682"/>
                <a:gd name="connsiteX11" fmla="*/ 1673194 w 12521223"/>
                <a:gd name="connsiteY11" fmla="*/ 1987868 h 2000682"/>
                <a:gd name="connsiteX12" fmla="*/ 51521 w 12521223"/>
                <a:gd name="connsiteY12" fmla="*/ 2000682 h 2000682"/>
                <a:gd name="connsiteX13" fmla="*/ 0 w 12521223"/>
                <a:gd name="connsiteY13" fmla="*/ 1251670 h 2000682"/>
                <a:gd name="connsiteX14" fmla="*/ 192665 w 12521223"/>
                <a:gd name="connsiteY14" fmla="*/ 1247773 h 2000682"/>
                <a:gd name="connsiteX15" fmla="*/ 379701 w 12521223"/>
                <a:gd name="connsiteY15" fmla="*/ 1923184 h 2000682"/>
                <a:gd name="connsiteX16" fmla="*/ 1481138 w 12521223"/>
                <a:gd name="connsiteY16" fmla="*/ 1912793 h 2000682"/>
                <a:gd name="connsiteX17" fmla="*/ 1646093 w 12521223"/>
                <a:gd name="connsiteY17" fmla="*/ 1243879 h 2000682"/>
                <a:gd name="connsiteX0" fmla="*/ 1640466 w 12528778"/>
                <a:gd name="connsiteY0" fmla="*/ 1236519 h 2000682"/>
                <a:gd name="connsiteX1" fmla="*/ 2378220 w 12528778"/>
                <a:gd name="connsiteY1" fmla="*/ 1250806 h 2000682"/>
                <a:gd name="connsiteX2" fmla="*/ 3292621 w 12528778"/>
                <a:gd name="connsiteY2" fmla="*/ 1194955 h 2000682"/>
                <a:gd name="connsiteX3" fmla="*/ 3770603 w 12528778"/>
                <a:gd name="connsiteY3" fmla="*/ 592282 h 2000682"/>
                <a:gd name="connsiteX4" fmla="*/ 4227802 w 12528778"/>
                <a:gd name="connsiteY4" fmla="*/ 83128 h 2000682"/>
                <a:gd name="connsiteX5" fmla="*/ 6181293 w 12528778"/>
                <a:gd name="connsiteY5" fmla="*/ 0 h 2000682"/>
                <a:gd name="connsiteX6" fmla="*/ 12521132 w 12528778"/>
                <a:gd name="connsiteY6" fmla="*/ 4552 h 2000682"/>
                <a:gd name="connsiteX7" fmla="*/ 12523824 w 12528778"/>
                <a:gd name="connsiteY7" fmla="*/ 212197 h 2000682"/>
                <a:gd name="connsiteX8" fmla="*/ 4498494 w 12528778"/>
                <a:gd name="connsiteY8" fmla="*/ 188841 h 2000682"/>
                <a:gd name="connsiteX9" fmla="*/ 3300486 w 12528778"/>
                <a:gd name="connsiteY9" fmla="*/ 1375433 h 2000682"/>
                <a:gd name="connsiteX10" fmla="*/ 1842912 w 12528778"/>
                <a:gd name="connsiteY10" fmla="*/ 1413710 h 2000682"/>
                <a:gd name="connsiteX11" fmla="*/ 1673194 w 12528778"/>
                <a:gd name="connsiteY11" fmla="*/ 1987868 h 2000682"/>
                <a:gd name="connsiteX12" fmla="*/ 51521 w 12528778"/>
                <a:gd name="connsiteY12" fmla="*/ 2000682 h 2000682"/>
                <a:gd name="connsiteX13" fmla="*/ 0 w 12528778"/>
                <a:gd name="connsiteY13" fmla="*/ 1251670 h 2000682"/>
                <a:gd name="connsiteX14" fmla="*/ 192665 w 12528778"/>
                <a:gd name="connsiteY14" fmla="*/ 1247773 h 2000682"/>
                <a:gd name="connsiteX15" fmla="*/ 379701 w 12528778"/>
                <a:gd name="connsiteY15" fmla="*/ 1923184 h 2000682"/>
                <a:gd name="connsiteX16" fmla="*/ 1481138 w 12528778"/>
                <a:gd name="connsiteY16" fmla="*/ 1912793 h 2000682"/>
                <a:gd name="connsiteX17" fmla="*/ 1646093 w 12528778"/>
                <a:gd name="connsiteY17" fmla="*/ 1243879 h 2000682"/>
                <a:gd name="connsiteX0" fmla="*/ 1640466 w 12528778"/>
                <a:gd name="connsiteY0" fmla="*/ 1236519 h 2000682"/>
                <a:gd name="connsiteX1" fmla="*/ 2378220 w 12528778"/>
                <a:gd name="connsiteY1" fmla="*/ 1250806 h 2000682"/>
                <a:gd name="connsiteX2" fmla="*/ 3292621 w 12528778"/>
                <a:gd name="connsiteY2" fmla="*/ 1194955 h 2000682"/>
                <a:gd name="connsiteX3" fmla="*/ 3770603 w 12528778"/>
                <a:gd name="connsiteY3" fmla="*/ 592282 h 2000682"/>
                <a:gd name="connsiteX4" fmla="*/ 4227802 w 12528778"/>
                <a:gd name="connsiteY4" fmla="*/ 83128 h 2000682"/>
                <a:gd name="connsiteX5" fmla="*/ 6181293 w 12528778"/>
                <a:gd name="connsiteY5" fmla="*/ 0 h 2000682"/>
                <a:gd name="connsiteX6" fmla="*/ 12521132 w 12528778"/>
                <a:gd name="connsiteY6" fmla="*/ 4552 h 2000682"/>
                <a:gd name="connsiteX7" fmla="*/ 12523824 w 12528778"/>
                <a:gd name="connsiteY7" fmla="*/ 212197 h 2000682"/>
                <a:gd name="connsiteX8" fmla="*/ 4474018 w 12528778"/>
                <a:gd name="connsiteY8" fmla="*/ 209373 h 2000682"/>
                <a:gd name="connsiteX9" fmla="*/ 3300486 w 12528778"/>
                <a:gd name="connsiteY9" fmla="*/ 1375433 h 2000682"/>
                <a:gd name="connsiteX10" fmla="*/ 1842912 w 12528778"/>
                <a:gd name="connsiteY10" fmla="*/ 1413710 h 2000682"/>
                <a:gd name="connsiteX11" fmla="*/ 1673194 w 12528778"/>
                <a:gd name="connsiteY11" fmla="*/ 1987868 h 2000682"/>
                <a:gd name="connsiteX12" fmla="*/ 51521 w 12528778"/>
                <a:gd name="connsiteY12" fmla="*/ 2000682 h 2000682"/>
                <a:gd name="connsiteX13" fmla="*/ 0 w 12528778"/>
                <a:gd name="connsiteY13" fmla="*/ 1251670 h 2000682"/>
                <a:gd name="connsiteX14" fmla="*/ 192665 w 12528778"/>
                <a:gd name="connsiteY14" fmla="*/ 1247773 h 2000682"/>
                <a:gd name="connsiteX15" fmla="*/ 379701 w 12528778"/>
                <a:gd name="connsiteY15" fmla="*/ 1923184 h 2000682"/>
                <a:gd name="connsiteX16" fmla="*/ 1481138 w 12528778"/>
                <a:gd name="connsiteY16" fmla="*/ 1912793 h 2000682"/>
                <a:gd name="connsiteX17" fmla="*/ 1646093 w 12528778"/>
                <a:gd name="connsiteY17" fmla="*/ 1243879 h 2000682"/>
                <a:gd name="connsiteX0" fmla="*/ 1640466 w 12523824"/>
                <a:gd name="connsiteY0" fmla="*/ 1236519 h 2000682"/>
                <a:gd name="connsiteX1" fmla="*/ 2378220 w 12523824"/>
                <a:gd name="connsiteY1" fmla="*/ 1250806 h 2000682"/>
                <a:gd name="connsiteX2" fmla="*/ 3292621 w 12523824"/>
                <a:gd name="connsiteY2" fmla="*/ 1194955 h 2000682"/>
                <a:gd name="connsiteX3" fmla="*/ 3770603 w 12523824"/>
                <a:gd name="connsiteY3" fmla="*/ 592282 h 2000682"/>
                <a:gd name="connsiteX4" fmla="*/ 4227802 w 12523824"/>
                <a:gd name="connsiteY4" fmla="*/ 83128 h 2000682"/>
                <a:gd name="connsiteX5" fmla="*/ 6181293 w 12523824"/>
                <a:gd name="connsiteY5" fmla="*/ 0 h 2000682"/>
                <a:gd name="connsiteX6" fmla="*/ 11781768 w 12523824"/>
                <a:gd name="connsiteY6" fmla="*/ 12352 h 2000682"/>
                <a:gd name="connsiteX7" fmla="*/ 12523824 w 12523824"/>
                <a:gd name="connsiteY7" fmla="*/ 212197 h 2000682"/>
                <a:gd name="connsiteX8" fmla="*/ 4474018 w 12523824"/>
                <a:gd name="connsiteY8" fmla="*/ 209373 h 2000682"/>
                <a:gd name="connsiteX9" fmla="*/ 3300486 w 12523824"/>
                <a:gd name="connsiteY9" fmla="*/ 1375433 h 2000682"/>
                <a:gd name="connsiteX10" fmla="*/ 1842912 w 12523824"/>
                <a:gd name="connsiteY10" fmla="*/ 1413710 h 2000682"/>
                <a:gd name="connsiteX11" fmla="*/ 1673194 w 12523824"/>
                <a:gd name="connsiteY11" fmla="*/ 1987868 h 2000682"/>
                <a:gd name="connsiteX12" fmla="*/ 51521 w 12523824"/>
                <a:gd name="connsiteY12" fmla="*/ 2000682 h 2000682"/>
                <a:gd name="connsiteX13" fmla="*/ 0 w 12523824"/>
                <a:gd name="connsiteY13" fmla="*/ 1251670 h 2000682"/>
                <a:gd name="connsiteX14" fmla="*/ 192665 w 12523824"/>
                <a:gd name="connsiteY14" fmla="*/ 1247773 h 2000682"/>
                <a:gd name="connsiteX15" fmla="*/ 379701 w 12523824"/>
                <a:gd name="connsiteY15" fmla="*/ 1923184 h 2000682"/>
                <a:gd name="connsiteX16" fmla="*/ 1481138 w 12523824"/>
                <a:gd name="connsiteY16" fmla="*/ 1912793 h 2000682"/>
                <a:gd name="connsiteX17" fmla="*/ 1646093 w 12523824"/>
                <a:gd name="connsiteY17" fmla="*/ 1243879 h 2000682"/>
                <a:gd name="connsiteX0" fmla="*/ 1640466 w 11832944"/>
                <a:gd name="connsiteY0" fmla="*/ 1236519 h 2000682"/>
                <a:gd name="connsiteX1" fmla="*/ 2378220 w 11832944"/>
                <a:gd name="connsiteY1" fmla="*/ 1250806 h 2000682"/>
                <a:gd name="connsiteX2" fmla="*/ 3292621 w 11832944"/>
                <a:gd name="connsiteY2" fmla="*/ 1194955 h 2000682"/>
                <a:gd name="connsiteX3" fmla="*/ 3770603 w 11832944"/>
                <a:gd name="connsiteY3" fmla="*/ 592282 h 2000682"/>
                <a:gd name="connsiteX4" fmla="*/ 4227802 w 11832944"/>
                <a:gd name="connsiteY4" fmla="*/ 83128 h 2000682"/>
                <a:gd name="connsiteX5" fmla="*/ 6181293 w 11832944"/>
                <a:gd name="connsiteY5" fmla="*/ 0 h 2000682"/>
                <a:gd name="connsiteX6" fmla="*/ 11781768 w 11832944"/>
                <a:gd name="connsiteY6" fmla="*/ 12352 h 2000682"/>
                <a:gd name="connsiteX7" fmla="*/ 11832944 w 11832944"/>
                <a:gd name="connsiteY7" fmla="*/ 212197 h 2000682"/>
                <a:gd name="connsiteX8" fmla="*/ 4474018 w 11832944"/>
                <a:gd name="connsiteY8" fmla="*/ 209373 h 2000682"/>
                <a:gd name="connsiteX9" fmla="*/ 3300486 w 11832944"/>
                <a:gd name="connsiteY9" fmla="*/ 1375433 h 2000682"/>
                <a:gd name="connsiteX10" fmla="*/ 1842912 w 11832944"/>
                <a:gd name="connsiteY10" fmla="*/ 1413710 h 2000682"/>
                <a:gd name="connsiteX11" fmla="*/ 1673194 w 11832944"/>
                <a:gd name="connsiteY11" fmla="*/ 1987868 h 2000682"/>
                <a:gd name="connsiteX12" fmla="*/ 51521 w 11832944"/>
                <a:gd name="connsiteY12" fmla="*/ 2000682 h 2000682"/>
                <a:gd name="connsiteX13" fmla="*/ 0 w 11832944"/>
                <a:gd name="connsiteY13" fmla="*/ 1251670 h 2000682"/>
                <a:gd name="connsiteX14" fmla="*/ 192665 w 11832944"/>
                <a:gd name="connsiteY14" fmla="*/ 1247773 h 2000682"/>
                <a:gd name="connsiteX15" fmla="*/ 379701 w 11832944"/>
                <a:gd name="connsiteY15" fmla="*/ 1923184 h 2000682"/>
                <a:gd name="connsiteX16" fmla="*/ 1481138 w 11832944"/>
                <a:gd name="connsiteY16" fmla="*/ 1912793 h 2000682"/>
                <a:gd name="connsiteX17" fmla="*/ 1646093 w 11832944"/>
                <a:gd name="connsiteY17" fmla="*/ 1243879 h 2000682"/>
                <a:gd name="connsiteX0" fmla="*/ 1640466 w 11832944"/>
                <a:gd name="connsiteY0" fmla="*/ 1236519 h 2000682"/>
                <a:gd name="connsiteX1" fmla="*/ 2378220 w 11832944"/>
                <a:gd name="connsiteY1" fmla="*/ 1250806 h 2000682"/>
                <a:gd name="connsiteX2" fmla="*/ 3292621 w 11832944"/>
                <a:gd name="connsiteY2" fmla="*/ 1194955 h 2000682"/>
                <a:gd name="connsiteX3" fmla="*/ 3770603 w 11832944"/>
                <a:gd name="connsiteY3" fmla="*/ 592282 h 2000682"/>
                <a:gd name="connsiteX4" fmla="*/ 4227802 w 11832944"/>
                <a:gd name="connsiteY4" fmla="*/ 83128 h 2000682"/>
                <a:gd name="connsiteX5" fmla="*/ 6181293 w 11832944"/>
                <a:gd name="connsiteY5" fmla="*/ 0 h 2000682"/>
                <a:gd name="connsiteX6" fmla="*/ 11823027 w 11832944"/>
                <a:gd name="connsiteY6" fmla="*/ 15660 h 2000682"/>
                <a:gd name="connsiteX7" fmla="*/ 11832944 w 11832944"/>
                <a:gd name="connsiteY7" fmla="*/ 212197 h 2000682"/>
                <a:gd name="connsiteX8" fmla="*/ 4474018 w 11832944"/>
                <a:gd name="connsiteY8" fmla="*/ 209373 h 2000682"/>
                <a:gd name="connsiteX9" fmla="*/ 3300486 w 11832944"/>
                <a:gd name="connsiteY9" fmla="*/ 1375433 h 2000682"/>
                <a:gd name="connsiteX10" fmla="*/ 1842912 w 11832944"/>
                <a:gd name="connsiteY10" fmla="*/ 1413710 h 2000682"/>
                <a:gd name="connsiteX11" fmla="*/ 1673194 w 11832944"/>
                <a:gd name="connsiteY11" fmla="*/ 1987868 h 2000682"/>
                <a:gd name="connsiteX12" fmla="*/ 51521 w 11832944"/>
                <a:gd name="connsiteY12" fmla="*/ 2000682 h 2000682"/>
                <a:gd name="connsiteX13" fmla="*/ 0 w 11832944"/>
                <a:gd name="connsiteY13" fmla="*/ 1251670 h 2000682"/>
                <a:gd name="connsiteX14" fmla="*/ 192665 w 11832944"/>
                <a:gd name="connsiteY14" fmla="*/ 1247773 h 2000682"/>
                <a:gd name="connsiteX15" fmla="*/ 379701 w 11832944"/>
                <a:gd name="connsiteY15" fmla="*/ 1923184 h 2000682"/>
                <a:gd name="connsiteX16" fmla="*/ 1481138 w 11832944"/>
                <a:gd name="connsiteY16" fmla="*/ 1912793 h 2000682"/>
                <a:gd name="connsiteX17" fmla="*/ 1646093 w 11832944"/>
                <a:gd name="connsiteY17" fmla="*/ 1243879 h 2000682"/>
                <a:gd name="connsiteX0" fmla="*/ 1640466 w 11832944"/>
                <a:gd name="connsiteY0" fmla="*/ 1236519 h 2000682"/>
                <a:gd name="connsiteX1" fmla="*/ 2378220 w 11832944"/>
                <a:gd name="connsiteY1" fmla="*/ 1250806 h 2000682"/>
                <a:gd name="connsiteX2" fmla="*/ 3292621 w 11832944"/>
                <a:gd name="connsiteY2" fmla="*/ 1194955 h 2000682"/>
                <a:gd name="connsiteX3" fmla="*/ 3770603 w 11832944"/>
                <a:gd name="connsiteY3" fmla="*/ 592282 h 2000682"/>
                <a:gd name="connsiteX4" fmla="*/ 4227802 w 11832944"/>
                <a:gd name="connsiteY4" fmla="*/ 83128 h 2000682"/>
                <a:gd name="connsiteX5" fmla="*/ 6181293 w 11832944"/>
                <a:gd name="connsiteY5" fmla="*/ 0 h 2000682"/>
                <a:gd name="connsiteX6" fmla="*/ 11823027 w 11832944"/>
                <a:gd name="connsiteY6" fmla="*/ 15660 h 2000682"/>
                <a:gd name="connsiteX7" fmla="*/ 11832944 w 11832944"/>
                <a:gd name="connsiteY7" fmla="*/ 212197 h 2000682"/>
                <a:gd name="connsiteX8" fmla="*/ 4474018 w 11832944"/>
                <a:gd name="connsiteY8" fmla="*/ 209373 h 2000682"/>
                <a:gd name="connsiteX9" fmla="*/ 3300486 w 11832944"/>
                <a:gd name="connsiteY9" fmla="*/ 1375433 h 2000682"/>
                <a:gd name="connsiteX10" fmla="*/ 1842912 w 11832944"/>
                <a:gd name="connsiteY10" fmla="*/ 1413710 h 2000682"/>
                <a:gd name="connsiteX11" fmla="*/ 1673194 w 11832944"/>
                <a:gd name="connsiteY11" fmla="*/ 1987868 h 2000682"/>
                <a:gd name="connsiteX12" fmla="*/ 51521 w 11832944"/>
                <a:gd name="connsiteY12" fmla="*/ 2000682 h 2000682"/>
                <a:gd name="connsiteX13" fmla="*/ 0 w 11832944"/>
                <a:gd name="connsiteY13" fmla="*/ 1251670 h 2000682"/>
                <a:gd name="connsiteX14" fmla="*/ 217957 w 11832944"/>
                <a:gd name="connsiteY14" fmla="*/ 1321801 h 2000682"/>
                <a:gd name="connsiteX15" fmla="*/ 379701 w 11832944"/>
                <a:gd name="connsiteY15" fmla="*/ 1923184 h 2000682"/>
                <a:gd name="connsiteX16" fmla="*/ 1481138 w 11832944"/>
                <a:gd name="connsiteY16" fmla="*/ 1912793 h 2000682"/>
                <a:gd name="connsiteX17" fmla="*/ 1646093 w 11832944"/>
                <a:gd name="connsiteY17" fmla="*/ 1243879 h 2000682"/>
                <a:gd name="connsiteX0" fmla="*/ 1630982 w 11823460"/>
                <a:gd name="connsiteY0" fmla="*/ 1236519 h 2000682"/>
                <a:gd name="connsiteX1" fmla="*/ 2368736 w 11823460"/>
                <a:gd name="connsiteY1" fmla="*/ 1250806 h 2000682"/>
                <a:gd name="connsiteX2" fmla="*/ 3283137 w 11823460"/>
                <a:gd name="connsiteY2" fmla="*/ 1194955 h 2000682"/>
                <a:gd name="connsiteX3" fmla="*/ 3761119 w 11823460"/>
                <a:gd name="connsiteY3" fmla="*/ 592282 h 2000682"/>
                <a:gd name="connsiteX4" fmla="*/ 4218318 w 11823460"/>
                <a:gd name="connsiteY4" fmla="*/ 83128 h 2000682"/>
                <a:gd name="connsiteX5" fmla="*/ 6171809 w 11823460"/>
                <a:gd name="connsiteY5" fmla="*/ 0 h 2000682"/>
                <a:gd name="connsiteX6" fmla="*/ 11813543 w 11823460"/>
                <a:gd name="connsiteY6" fmla="*/ 15660 h 2000682"/>
                <a:gd name="connsiteX7" fmla="*/ 11823460 w 11823460"/>
                <a:gd name="connsiteY7" fmla="*/ 212197 h 2000682"/>
                <a:gd name="connsiteX8" fmla="*/ 4464534 w 11823460"/>
                <a:gd name="connsiteY8" fmla="*/ 209373 h 2000682"/>
                <a:gd name="connsiteX9" fmla="*/ 3291002 w 11823460"/>
                <a:gd name="connsiteY9" fmla="*/ 1375433 h 2000682"/>
                <a:gd name="connsiteX10" fmla="*/ 1833428 w 11823460"/>
                <a:gd name="connsiteY10" fmla="*/ 1413710 h 2000682"/>
                <a:gd name="connsiteX11" fmla="*/ 1663710 w 11823460"/>
                <a:gd name="connsiteY11" fmla="*/ 1987868 h 2000682"/>
                <a:gd name="connsiteX12" fmla="*/ 42037 w 11823460"/>
                <a:gd name="connsiteY12" fmla="*/ 2000682 h 2000682"/>
                <a:gd name="connsiteX13" fmla="*/ 0 w 11823460"/>
                <a:gd name="connsiteY13" fmla="*/ 1321071 h 2000682"/>
                <a:gd name="connsiteX14" fmla="*/ 208473 w 11823460"/>
                <a:gd name="connsiteY14" fmla="*/ 1321801 h 2000682"/>
                <a:gd name="connsiteX15" fmla="*/ 370217 w 11823460"/>
                <a:gd name="connsiteY15" fmla="*/ 1923184 h 2000682"/>
                <a:gd name="connsiteX16" fmla="*/ 1471654 w 11823460"/>
                <a:gd name="connsiteY16" fmla="*/ 1912793 h 2000682"/>
                <a:gd name="connsiteX17" fmla="*/ 1636609 w 11823460"/>
                <a:gd name="connsiteY17" fmla="*/ 1243879 h 2000682"/>
                <a:gd name="connsiteX0" fmla="*/ 1630982 w 11823460"/>
                <a:gd name="connsiteY0" fmla="*/ 1236519 h 2000682"/>
                <a:gd name="connsiteX1" fmla="*/ 2368736 w 11823460"/>
                <a:gd name="connsiteY1" fmla="*/ 1250806 h 2000682"/>
                <a:gd name="connsiteX2" fmla="*/ 3283137 w 11823460"/>
                <a:gd name="connsiteY2" fmla="*/ 1194955 h 2000682"/>
                <a:gd name="connsiteX3" fmla="*/ 3761119 w 11823460"/>
                <a:gd name="connsiteY3" fmla="*/ 592282 h 2000682"/>
                <a:gd name="connsiteX4" fmla="*/ 4218318 w 11823460"/>
                <a:gd name="connsiteY4" fmla="*/ 83128 h 2000682"/>
                <a:gd name="connsiteX5" fmla="*/ 6171809 w 11823460"/>
                <a:gd name="connsiteY5" fmla="*/ 0 h 2000682"/>
                <a:gd name="connsiteX6" fmla="*/ 11813543 w 11823460"/>
                <a:gd name="connsiteY6" fmla="*/ 15660 h 2000682"/>
                <a:gd name="connsiteX7" fmla="*/ 11823460 w 11823460"/>
                <a:gd name="connsiteY7" fmla="*/ 212197 h 2000682"/>
                <a:gd name="connsiteX8" fmla="*/ 4464534 w 11823460"/>
                <a:gd name="connsiteY8" fmla="*/ 209373 h 2000682"/>
                <a:gd name="connsiteX9" fmla="*/ 3291002 w 11823460"/>
                <a:gd name="connsiteY9" fmla="*/ 1375433 h 2000682"/>
                <a:gd name="connsiteX10" fmla="*/ 1833428 w 11823460"/>
                <a:gd name="connsiteY10" fmla="*/ 1413710 h 2000682"/>
                <a:gd name="connsiteX11" fmla="*/ 1663710 w 11823460"/>
                <a:gd name="connsiteY11" fmla="*/ 1987868 h 2000682"/>
                <a:gd name="connsiteX12" fmla="*/ 42037 w 11823460"/>
                <a:gd name="connsiteY12" fmla="*/ 2000682 h 2000682"/>
                <a:gd name="connsiteX13" fmla="*/ 0 w 11823460"/>
                <a:gd name="connsiteY13" fmla="*/ 1321071 h 2000682"/>
                <a:gd name="connsiteX14" fmla="*/ 208473 w 11823460"/>
                <a:gd name="connsiteY14" fmla="*/ 1321801 h 2000682"/>
                <a:gd name="connsiteX15" fmla="*/ 370217 w 11823460"/>
                <a:gd name="connsiteY15" fmla="*/ 1923184 h 2000682"/>
                <a:gd name="connsiteX16" fmla="*/ 1471654 w 11823460"/>
                <a:gd name="connsiteY16" fmla="*/ 1912793 h 2000682"/>
                <a:gd name="connsiteX17" fmla="*/ 1636609 w 11823460"/>
                <a:gd name="connsiteY17" fmla="*/ 1243879 h 2000682"/>
                <a:gd name="connsiteX0" fmla="*/ 1630982 w 11823460"/>
                <a:gd name="connsiteY0" fmla="*/ 1236519 h 2000682"/>
                <a:gd name="connsiteX1" fmla="*/ 2368736 w 11823460"/>
                <a:gd name="connsiteY1" fmla="*/ 1250806 h 2000682"/>
                <a:gd name="connsiteX2" fmla="*/ 3283137 w 11823460"/>
                <a:gd name="connsiteY2" fmla="*/ 1194955 h 2000682"/>
                <a:gd name="connsiteX3" fmla="*/ 3761119 w 11823460"/>
                <a:gd name="connsiteY3" fmla="*/ 592282 h 2000682"/>
                <a:gd name="connsiteX4" fmla="*/ 4218318 w 11823460"/>
                <a:gd name="connsiteY4" fmla="*/ 83128 h 2000682"/>
                <a:gd name="connsiteX5" fmla="*/ 6171809 w 11823460"/>
                <a:gd name="connsiteY5" fmla="*/ 0 h 2000682"/>
                <a:gd name="connsiteX6" fmla="*/ 11813543 w 11823460"/>
                <a:gd name="connsiteY6" fmla="*/ 15660 h 2000682"/>
                <a:gd name="connsiteX7" fmla="*/ 11823460 w 11823460"/>
                <a:gd name="connsiteY7" fmla="*/ 212197 h 2000682"/>
                <a:gd name="connsiteX8" fmla="*/ 4464534 w 11823460"/>
                <a:gd name="connsiteY8" fmla="*/ 209373 h 2000682"/>
                <a:gd name="connsiteX9" fmla="*/ 3291002 w 11823460"/>
                <a:gd name="connsiteY9" fmla="*/ 1375433 h 2000682"/>
                <a:gd name="connsiteX10" fmla="*/ 1663710 w 11823460"/>
                <a:gd name="connsiteY10" fmla="*/ 1987868 h 2000682"/>
                <a:gd name="connsiteX11" fmla="*/ 42037 w 11823460"/>
                <a:gd name="connsiteY11" fmla="*/ 2000682 h 2000682"/>
                <a:gd name="connsiteX12" fmla="*/ 0 w 11823460"/>
                <a:gd name="connsiteY12" fmla="*/ 1321071 h 2000682"/>
                <a:gd name="connsiteX13" fmla="*/ 208473 w 11823460"/>
                <a:gd name="connsiteY13" fmla="*/ 1321801 h 2000682"/>
                <a:gd name="connsiteX14" fmla="*/ 370217 w 11823460"/>
                <a:gd name="connsiteY14" fmla="*/ 1923184 h 2000682"/>
                <a:gd name="connsiteX15" fmla="*/ 1471654 w 11823460"/>
                <a:gd name="connsiteY15" fmla="*/ 1912793 h 2000682"/>
                <a:gd name="connsiteX16" fmla="*/ 1636609 w 11823460"/>
                <a:gd name="connsiteY16" fmla="*/ 1243879 h 2000682"/>
                <a:gd name="connsiteX0" fmla="*/ 1630982 w 11823460"/>
                <a:gd name="connsiteY0" fmla="*/ 1236519 h 2023763"/>
                <a:gd name="connsiteX1" fmla="*/ 2368736 w 11823460"/>
                <a:gd name="connsiteY1" fmla="*/ 1250806 h 2023763"/>
                <a:gd name="connsiteX2" fmla="*/ 3283137 w 11823460"/>
                <a:gd name="connsiteY2" fmla="*/ 1194955 h 2023763"/>
                <a:gd name="connsiteX3" fmla="*/ 3761119 w 11823460"/>
                <a:gd name="connsiteY3" fmla="*/ 592282 h 2023763"/>
                <a:gd name="connsiteX4" fmla="*/ 4218318 w 11823460"/>
                <a:gd name="connsiteY4" fmla="*/ 83128 h 2023763"/>
                <a:gd name="connsiteX5" fmla="*/ 6171809 w 11823460"/>
                <a:gd name="connsiteY5" fmla="*/ 0 h 2023763"/>
                <a:gd name="connsiteX6" fmla="*/ 11813543 w 11823460"/>
                <a:gd name="connsiteY6" fmla="*/ 15660 h 2023763"/>
                <a:gd name="connsiteX7" fmla="*/ 11823460 w 11823460"/>
                <a:gd name="connsiteY7" fmla="*/ 212197 h 2023763"/>
                <a:gd name="connsiteX8" fmla="*/ 4464534 w 11823460"/>
                <a:gd name="connsiteY8" fmla="*/ 209373 h 2023763"/>
                <a:gd name="connsiteX9" fmla="*/ 4017734 w 11823460"/>
                <a:gd name="connsiteY9" fmla="*/ 1889420 h 2023763"/>
                <a:gd name="connsiteX10" fmla="*/ 1663710 w 11823460"/>
                <a:gd name="connsiteY10" fmla="*/ 1987868 h 2023763"/>
                <a:gd name="connsiteX11" fmla="*/ 42037 w 11823460"/>
                <a:gd name="connsiteY11" fmla="*/ 2000682 h 2023763"/>
                <a:gd name="connsiteX12" fmla="*/ 0 w 11823460"/>
                <a:gd name="connsiteY12" fmla="*/ 1321071 h 2023763"/>
                <a:gd name="connsiteX13" fmla="*/ 208473 w 11823460"/>
                <a:gd name="connsiteY13" fmla="*/ 1321801 h 2023763"/>
                <a:gd name="connsiteX14" fmla="*/ 370217 w 11823460"/>
                <a:gd name="connsiteY14" fmla="*/ 1923184 h 2023763"/>
                <a:gd name="connsiteX15" fmla="*/ 1471654 w 11823460"/>
                <a:gd name="connsiteY15" fmla="*/ 1912793 h 2023763"/>
                <a:gd name="connsiteX16" fmla="*/ 1636609 w 11823460"/>
                <a:gd name="connsiteY16" fmla="*/ 1243879 h 2023763"/>
                <a:gd name="connsiteX0" fmla="*/ 1630982 w 11823460"/>
                <a:gd name="connsiteY0" fmla="*/ 1236519 h 2000682"/>
                <a:gd name="connsiteX1" fmla="*/ 2368736 w 11823460"/>
                <a:gd name="connsiteY1" fmla="*/ 1250806 h 2000682"/>
                <a:gd name="connsiteX2" fmla="*/ 3283137 w 11823460"/>
                <a:gd name="connsiteY2" fmla="*/ 1194955 h 2000682"/>
                <a:gd name="connsiteX3" fmla="*/ 3761119 w 11823460"/>
                <a:gd name="connsiteY3" fmla="*/ 592282 h 2000682"/>
                <a:gd name="connsiteX4" fmla="*/ 4218318 w 11823460"/>
                <a:gd name="connsiteY4" fmla="*/ 83128 h 2000682"/>
                <a:gd name="connsiteX5" fmla="*/ 6171809 w 11823460"/>
                <a:gd name="connsiteY5" fmla="*/ 0 h 2000682"/>
                <a:gd name="connsiteX6" fmla="*/ 11813543 w 11823460"/>
                <a:gd name="connsiteY6" fmla="*/ 15660 h 2000682"/>
                <a:gd name="connsiteX7" fmla="*/ 11823460 w 11823460"/>
                <a:gd name="connsiteY7" fmla="*/ 212197 h 2000682"/>
                <a:gd name="connsiteX8" fmla="*/ 4464534 w 11823460"/>
                <a:gd name="connsiteY8" fmla="*/ 209373 h 2000682"/>
                <a:gd name="connsiteX9" fmla="*/ 4017734 w 11823460"/>
                <a:gd name="connsiteY9" fmla="*/ 1889420 h 2000682"/>
                <a:gd name="connsiteX10" fmla="*/ 1663710 w 11823460"/>
                <a:gd name="connsiteY10" fmla="*/ 1987868 h 2000682"/>
                <a:gd name="connsiteX11" fmla="*/ 42037 w 11823460"/>
                <a:gd name="connsiteY11" fmla="*/ 2000682 h 2000682"/>
                <a:gd name="connsiteX12" fmla="*/ 0 w 11823460"/>
                <a:gd name="connsiteY12" fmla="*/ 1321071 h 2000682"/>
                <a:gd name="connsiteX13" fmla="*/ 208473 w 11823460"/>
                <a:gd name="connsiteY13" fmla="*/ 1321801 h 2000682"/>
                <a:gd name="connsiteX14" fmla="*/ 370217 w 11823460"/>
                <a:gd name="connsiteY14" fmla="*/ 1923184 h 2000682"/>
                <a:gd name="connsiteX15" fmla="*/ 1471654 w 11823460"/>
                <a:gd name="connsiteY15" fmla="*/ 1912793 h 2000682"/>
                <a:gd name="connsiteX16" fmla="*/ 1636609 w 11823460"/>
                <a:gd name="connsiteY16" fmla="*/ 1243879 h 2000682"/>
                <a:gd name="connsiteX0" fmla="*/ 1630982 w 11823460"/>
                <a:gd name="connsiteY0" fmla="*/ 1236519 h 2092613"/>
                <a:gd name="connsiteX1" fmla="*/ 2368736 w 11823460"/>
                <a:gd name="connsiteY1" fmla="*/ 1250806 h 2092613"/>
                <a:gd name="connsiteX2" fmla="*/ 3283137 w 11823460"/>
                <a:gd name="connsiteY2" fmla="*/ 1194955 h 2092613"/>
                <a:gd name="connsiteX3" fmla="*/ 3761119 w 11823460"/>
                <a:gd name="connsiteY3" fmla="*/ 592282 h 2092613"/>
                <a:gd name="connsiteX4" fmla="*/ 4218318 w 11823460"/>
                <a:gd name="connsiteY4" fmla="*/ 83128 h 2092613"/>
                <a:gd name="connsiteX5" fmla="*/ 6171809 w 11823460"/>
                <a:gd name="connsiteY5" fmla="*/ 0 h 2092613"/>
                <a:gd name="connsiteX6" fmla="*/ 11813543 w 11823460"/>
                <a:gd name="connsiteY6" fmla="*/ 15660 h 2092613"/>
                <a:gd name="connsiteX7" fmla="*/ 11823460 w 11823460"/>
                <a:gd name="connsiteY7" fmla="*/ 212197 h 2092613"/>
                <a:gd name="connsiteX8" fmla="*/ 4464534 w 11823460"/>
                <a:gd name="connsiteY8" fmla="*/ 209373 h 2092613"/>
                <a:gd name="connsiteX9" fmla="*/ 4017734 w 11823460"/>
                <a:gd name="connsiteY9" fmla="*/ 1889420 h 2092613"/>
                <a:gd name="connsiteX10" fmla="*/ 42037 w 11823460"/>
                <a:gd name="connsiteY10" fmla="*/ 2000682 h 2092613"/>
                <a:gd name="connsiteX11" fmla="*/ 0 w 11823460"/>
                <a:gd name="connsiteY11" fmla="*/ 1321071 h 2092613"/>
                <a:gd name="connsiteX12" fmla="*/ 208473 w 11823460"/>
                <a:gd name="connsiteY12" fmla="*/ 1321801 h 2092613"/>
                <a:gd name="connsiteX13" fmla="*/ 370217 w 11823460"/>
                <a:gd name="connsiteY13" fmla="*/ 1923184 h 2092613"/>
                <a:gd name="connsiteX14" fmla="*/ 1471654 w 11823460"/>
                <a:gd name="connsiteY14" fmla="*/ 1912793 h 2092613"/>
                <a:gd name="connsiteX15" fmla="*/ 1636609 w 11823460"/>
                <a:gd name="connsiteY15" fmla="*/ 1243879 h 2092613"/>
                <a:gd name="connsiteX0" fmla="*/ 1630982 w 11823460"/>
                <a:gd name="connsiteY0" fmla="*/ 1236519 h 2033139"/>
                <a:gd name="connsiteX1" fmla="*/ 2368736 w 11823460"/>
                <a:gd name="connsiteY1" fmla="*/ 1250806 h 2033139"/>
                <a:gd name="connsiteX2" fmla="*/ 3283137 w 11823460"/>
                <a:gd name="connsiteY2" fmla="*/ 1194955 h 2033139"/>
                <a:gd name="connsiteX3" fmla="*/ 3761119 w 11823460"/>
                <a:gd name="connsiteY3" fmla="*/ 592282 h 2033139"/>
                <a:gd name="connsiteX4" fmla="*/ 4218318 w 11823460"/>
                <a:gd name="connsiteY4" fmla="*/ 83128 h 2033139"/>
                <a:gd name="connsiteX5" fmla="*/ 6171809 w 11823460"/>
                <a:gd name="connsiteY5" fmla="*/ 0 h 2033139"/>
                <a:gd name="connsiteX6" fmla="*/ 11813543 w 11823460"/>
                <a:gd name="connsiteY6" fmla="*/ 15660 h 2033139"/>
                <a:gd name="connsiteX7" fmla="*/ 11823460 w 11823460"/>
                <a:gd name="connsiteY7" fmla="*/ 212197 h 2033139"/>
                <a:gd name="connsiteX8" fmla="*/ 4464534 w 11823460"/>
                <a:gd name="connsiteY8" fmla="*/ 209373 h 2033139"/>
                <a:gd name="connsiteX9" fmla="*/ 4017734 w 11823460"/>
                <a:gd name="connsiteY9" fmla="*/ 1889420 h 2033139"/>
                <a:gd name="connsiteX10" fmla="*/ 42037 w 11823460"/>
                <a:gd name="connsiteY10" fmla="*/ 2000682 h 2033139"/>
                <a:gd name="connsiteX11" fmla="*/ 0 w 11823460"/>
                <a:gd name="connsiteY11" fmla="*/ 1321071 h 2033139"/>
                <a:gd name="connsiteX12" fmla="*/ 208473 w 11823460"/>
                <a:gd name="connsiteY12" fmla="*/ 1321801 h 2033139"/>
                <a:gd name="connsiteX13" fmla="*/ 370217 w 11823460"/>
                <a:gd name="connsiteY13" fmla="*/ 1923184 h 2033139"/>
                <a:gd name="connsiteX14" fmla="*/ 1471654 w 11823460"/>
                <a:gd name="connsiteY14" fmla="*/ 1912793 h 2033139"/>
                <a:gd name="connsiteX15" fmla="*/ 1636609 w 11823460"/>
                <a:gd name="connsiteY15" fmla="*/ 1243879 h 2033139"/>
                <a:gd name="connsiteX0" fmla="*/ 1630982 w 11823460"/>
                <a:gd name="connsiteY0" fmla="*/ 1236519 h 2001049"/>
                <a:gd name="connsiteX1" fmla="*/ 2368736 w 11823460"/>
                <a:gd name="connsiteY1" fmla="*/ 1250806 h 2001049"/>
                <a:gd name="connsiteX2" fmla="*/ 3283137 w 11823460"/>
                <a:gd name="connsiteY2" fmla="*/ 1194955 h 2001049"/>
                <a:gd name="connsiteX3" fmla="*/ 3761119 w 11823460"/>
                <a:gd name="connsiteY3" fmla="*/ 592282 h 2001049"/>
                <a:gd name="connsiteX4" fmla="*/ 4218318 w 11823460"/>
                <a:gd name="connsiteY4" fmla="*/ 83128 h 2001049"/>
                <a:gd name="connsiteX5" fmla="*/ 6171809 w 11823460"/>
                <a:gd name="connsiteY5" fmla="*/ 0 h 2001049"/>
                <a:gd name="connsiteX6" fmla="*/ 11813543 w 11823460"/>
                <a:gd name="connsiteY6" fmla="*/ 15660 h 2001049"/>
                <a:gd name="connsiteX7" fmla="*/ 11823460 w 11823460"/>
                <a:gd name="connsiteY7" fmla="*/ 212197 h 2001049"/>
                <a:gd name="connsiteX8" fmla="*/ 4464534 w 11823460"/>
                <a:gd name="connsiteY8" fmla="*/ 209373 h 2001049"/>
                <a:gd name="connsiteX9" fmla="*/ 4017734 w 11823460"/>
                <a:gd name="connsiteY9" fmla="*/ 1889420 h 2001049"/>
                <a:gd name="connsiteX10" fmla="*/ 42037 w 11823460"/>
                <a:gd name="connsiteY10" fmla="*/ 2000682 h 2001049"/>
                <a:gd name="connsiteX11" fmla="*/ 0 w 11823460"/>
                <a:gd name="connsiteY11" fmla="*/ 1321071 h 2001049"/>
                <a:gd name="connsiteX12" fmla="*/ 208473 w 11823460"/>
                <a:gd name="connsiteY12" fmla="*/ 1321801 h 2001049"/>
                <a:gd name="connsiteX13" fmla="*/ 370217 w 11823460"/>
                <a:gd name="connsiteY13" fmla="*/ 1923184 h 2001049"/>
                <a:gd name="connsiteX14" fmla="*/ 1471654 w 11823460"/>
                <a:gd name="connsiteY14" fmla="*/ 1912793 h 2001049"/>
                <a:gd name="connsiteX15" fmla="*/ 1636609 w 11823460"/>
                <a:gd name="connsiteY15" fmla="*/ 1243879 h 2001049"/>
                <a:gd name="connsiteX0" fmla="*/ 1630982 w 11823460"/>
                <a:gd name="connsiteY0" fmla="*/ 1236519 h 2001049"/>
                <a:gd name="connsiteX1" fmla="*/ 2368736 w 11823460"/>
                <a:gd name="connsiteY1" fmla="*/ 1250806 h 2001049"/>
                <a:gd name="connsiteX2" fmla="*/ 3283137 w 11823460"/>
                <a:gd name="connsiteY2" fmla="*/ 1194955 h 2001049"/>
                <a:gd name="connsiteX3" fmla="*/ 3761119 w 11823460"/>
                <a:gd name="connsiteY3" fmla="*/ 592282 h 2001049"/>
                <a:gd name="connsiteX4" fmla="*/ 4218318 w 11823460"/>
                <a:gd name="connsiteY4" fmla="*/ 83128 h 2001049"/>
                <a:gd name="connsiteX5" fmla="*/ 6171809 w 11823460"/>
                <a:gd name="connsiteY5" fmla="*/ 0 h 2001049"/>
                <a:gd name="connsiteX6" fmla="*/ 11813543 w 11823460"/>
                <a:gd name="connsiteY6" fmla="*/ 15660 h 2001049"/>
                <a:gd name="connsiteX7" fmla="*/ 11823460 w 11823460"/>
                <a:gd name="connsiteY7" fmla="*/ 212197 h 2001049"/>
                <a:gd name="connsiteX8" fmla="*/ 4731715 w 11823460"/>
                <a:gd name="connsiteY8" fmla="*/ 739677 h 2001049"/>
                <a:gd name="connsiteX9" fmla="*/ 4017734 w 11823460"/>
                <a:gd name="connsiteY9" fmla="*/ 1889420 h 2001049"/>
                <a:gd name="connsiteX10" fmla="*/ 42037 w 11823460"/>
                <a:gd name="connsiteY10" fmla="*/ 2000682 h 2001049"/>
                <a:gd name="connsiteX11" fmla="*/ 0 w 11823460"/>
                <a:gd name="connsiteY11" fmla="*/ 1321071 h 2001049"/>
                <a:gd name="connsiteX12" fmla="*/ 208473 w 11823460"/>
                <a:gd name="connsiteY12" fmla="*/ 1321801 h 2001049"/>
                <a:gd name="connsiteX13" fmla="*/ 370217 w 11823460"/>
                <a:gd name="connsiteY13" fmla="*/ 1923184 h 2001049"/>
                <a:gd name="connsiteX14" fmla="*/ 1471654 w 11823460"/>
                <a:gd name="connsiteY14" fmla="*/ 1912793 h 2001049"/>
                <a:gd name="connsiteX15" fmla="*/ 1636609 w 11823460"/>
                <a:gd name="connsiteY15" fmla="*/ 1243879 h 2001049"/>
                <a:gd name="connsiteX0" fmla="*/ 1630982 w 11834147"/>
                <a:gd name="connsiteY0" fmla="*/ 1236519 h 2001049"/>
                <a:gd name="connsiteX1" fmla="*/ 2368736 w 11834147"/>
                <a:gd name="connsiteY1" fmla="*/ 1250806 h 2001049"/>
                <a:gd name="connsiteX2" fmla="*/ 3283137 w 11834147"/>
                <a:gd name="connsiteY2" fmla="*/ 1194955 h 2001049"/>
                <a:gd name="connsiteX3" fmla="*/ 3761119 w 11834147"/>
                <a:gd name="connsiteY3" fmla="*/ 592282 h 2001049"/>
                <a:gd name="connsiteX4" fmla="*/ 4218318 w 11834147"/>
                <a:gd name="connsiteY4" fmla="*/ 83128 h 2001049"/>
                <a:gd name="connsiteX5" fmla="*/ 6171809 w 11834147"/>
                <a:gd name="connsiteY5" fmla="*/ 0 h 2001049"/>
                <a:gd name="connsiteX6" fmla="*/ 11813543 w 11834147"/>
                <a:gd name="connsiteY6" fmla="*/ 15660 h 2001049"/>
                <a:gd name="connsiteX7" fmla="*/ 11834147 w 11834147"/>
                <a:gd name="connsiteY7" fmla="*/ 726184 h 2001049"/>
                <a:gd name="connsiteX8" fmla="*/ 4731715 w 11834147"/>
                <a:gd name="connsiteY8" fmla="*/ 739677 h 2001049"/>
                <a:gd name="connsiteX9" fmla="*/ 4017734 w 11834147"/>
                <a:gd name="connsiteY9" fmla="*/ 1889420 h 2001049"/>
                <a:gd name="connsiteX10" fmla="*/ 42037 w 11834147"/>
                <a:gd name="connsiteY10" fmla="*/ 2000682 h 2001049"/>
                <a:gd name="connsiteX11" fmla="*/ 0 w 11834147"/>
                <a:gd name="connsiteY11" fmla="*/ 1321071 h 2001049"/>
                <a:gd name="connsiteX12" fmla="*/ 208473 w 11834147"/>
                <a:gd name="connsiteY12" fmla="*/ 1321801 h 2001049"/>
                <a:gd name="connsiteX13" fmla="*/ 370217 w 11834147"/>
                <a:gd name="connsiteY13" fmla="*/ 1923184 h 2001049"/>
                <a:gd name="connsiteX14" fmla="*/ 1471654 w 11834147"/>
                <a:gd name="connsiteY14" fmla="*/ 1912793 h 2001049"/>
                <a:gd name="connsiteX15" fmla="*/ 1636609 w 11834147"/>
                <a:gd name="connsiteY15" fmla="*/ 1243879 h 2001049"/>
                <a:gd name="connsiteX0" fmla="*/ 1631928 w 11835093"/>
                <a:gd name="connsiteY0" fmla="*/ 1236519 h 1929957"/>
                <a:gd name="connsiteX1" fmla="*/ 2369682 w 11835093"/>
                <a:gd name="connsiteY1" fmla="*/ 1250806 h 1929957"/>
                <a:gd name="connsiteX2" fmla="*/ 3284083 w 11835093"/>
                <a:gd name="connsiteY2" fmla="*/ 1194955 h 1929957"/>
                <a:gd name="connsiteX3" fmla="*/ 3762065 w 11835093"/>
                <a:gd name="connsiteY3" fmla="*/ 592282 h 1929957"/>
                <a:gd name="connsiteX4" fmla="*/ 4219264 w 11835093"/>
                <a:gd name="connsiteY4" fmla="*/ 83128 h 1929957"/>
                <a:gd name="connsiteX5" fmla="*/ 6172755 w 11835093"/>
                <a:gd name="connsiteY5" fmla="*/ 0 h 1929957"/>
                <a:gd name="connsiteX6" fmla="*/ 11814489 w 11835093"/>
                <a:gd name="connsiteY6" fmla="*/ 15660 h 1929957"/>
                <a:gd name="connsiteX7" fmla="*/ 11835093 w 11835093"/>
                <a:gd name="connsiteY7" fmla="*/ 726184 h 1929957"/>
                <a:gd name="connsiteX8" fmla="*/ 4732661 w 11835093"/>
                <a:gd name="connsiteY8" fmla="*/ 739677 h 1929957"/>
                <a:gd name="connsiteX9" fmla="*/ 4018680 w 11835093"/>
                <a:gd name="connsiteY9" fmla="*/ 1889420 h 1929957"/>
                <a:gd name="connsiteX10" fmla="*/ 30441 w 11835093"/>
                <a:gd name="connsiteY10" fmla="*/ 1913501 h 1929957"/>
                <a:gd name="connsiteX11" fmla="*/ 946 w 11835093"/>
                <a:gd name="connsiteY11" fmla="*/ 1321071 h 1929957"/>
                <a:gd name="connsiteX12" fmla="*/ 209419 w 11835093"/>
                <a:gd name="connsiteY12" fmla="*/ 1321801 h 1929957"/>
                <a:gd name="connsiteX13" fmla="*/ 371163 w 11835093"/>
                <a:gd name="connsiteY13" fmla="*/ 1923184 h 1929957"/>
                <a:gd name="connsiteX14" fmla="*/ 1472600 w 11835093"/>
                <a:gd name="connsiteY14" fmla="*/ 1912793 h 1929957"/>
                <a:gd name="connsiteX15" fmla="*/ 1637555 w 11835093"/>
                <a:gd name="connsiteY15" fmla="*/ 1243879 h 1929957"/>
                <a:gd name="connsiteX0" fmla="*/ 1631928 w 11835093"/>
                <a:gd name="connsiteY0" fmla="*/ 1236519 h 1929957"/>
                <a:gd name="connsiteX1" fmla="*/ 2369682 w 11835093"/>
                <a:gd name="connsiteY1" fmla="*/ 1250806 h 1929957"/>
                <a:gd name="connsiteX2" fmla="*/ 3284083 w 11835093"/>
                <a:gd name="connsiteY2" fmla="*/ 1194955 h 1929957"/>
                <a:gd name="connsiteX3" fmla="*/ 3762065 w 11835093"/>
                <a:gd name="connsiteY3" fmla="*/ 592282 h 1929957"/>
                <a:gd name="connsiteX4" fmla="*/ 4219264 w 11835093"/>
                <a:gd name="connsiteY4" fmla="*/ 83128 h 1929957"/>
                <a:gd name="connsiteX5" fmla="*/ 6172755 w 11835093"/>
                <a:gd name="connsiteY5" fmla="*/ 0 h 1929957"/>
                <a:gd name="connsiteX6" fmla="*/ 11814489 w 11835093"/>
                <a:gd name="connsiteY6" fmla="*/ 15660 h 1929957"/>
                <a:gd name="connsiteX7" fmla="*/ 11835093 w 11835093"/>
                <a:gd name="connsiteY7" fmla="*/ 726184 h 1929957"/>
                <a:gd name="connsiteX8" fmla="*/ 4732661 w 11835093"/>
                <a:gd name="connsiteY8" fmla="*/ 739677 h 1929957"/>
                <a:gd name="connsiteX9" fmla="*/ 4018680 w 11835093"/>
                <a:gd name="connsiteY9" fmla="*/ 1889420 h 1929957"/>
                <a:gd name="connsiteX10" fmla="*/ 30441 w 11835093"/>
                <a:gd name="connsiteY10" fmla="*/ 1913501 h 1929957"/>
                <a:gd name="connsiteX11" fmla="*/ 946 w 11835093"/>
                <a:gd name="connsiteY11" fmla="*/ 1321071 h 1929957"/>
                <a:gd name="connsiteX12" fmla="*/ 209419 w 11835093"/>
                <a:gd name="connsiteY12" fmla="*/ 1321801 h 1929957"/>
                <a:gd name="connsiteX13" fmla="*/ 371163 w 11835093"/>
                <a:gd name="connsiteY13" fmla="*/ 1923184 h 1929957"/>
                <a:gd name="connsiteX14" fmla="*/ 1510226 w 11835093"/>
                <a:gd name="connsiteY14" fmla="*/ 1835299 h 1929957"/>
                <a:gd name="connsiteX15" fmla="*/ 1637555 w 11835093"/>
                <a:gd name="connsiteY15" fmla="*/ 1243879 h 1929957"/>
                <a:gd name="connsiteX0" fmla="*/ 1631928 w 11835093"/>
                <a:gd name="connsiteY0" fmla="*/ 1236519 h 1929957"/>
                <a:gd name="connsiteX1" fmla="*/ 2369682 w 11835093"/>
                <a:gd name="connsiteY1" fmla="*/ 1250806 h 1929957"/>
                <a:gd name="connsiteX2" fmla="*/ 3284083 w 11835093"/>
                <a:gd name="connsiteY2" fmla="*/ 1194955 h 1929957"/>
                <a:gd name="connsiteX3" fmla="*/ 3762065 w 11835093"/>
                <a:gd name="connsiteY3" fmla="*/ 592282 h 1929957"/>
                <a:gd name="connsiteX4" fmla="*/ 4219264 w 11835093"/>
                <a:gd name="connsiteY4" fmla="*/ 83128 h 1929957"/>
                <a:gd name="connsiteX5" fmla="*/ 6172755 w 11835093"/>
                <a:gd name="connsiteY5" fmla="*/ 0 h 1929957"/>
                <a:gd name="connsiteX6" fmla="*/ 11814489 w 11835093"/>
                <a:gd name="connsiteY6" fmla="*/ 15660 h 1929957"/>
                <a:gd name="connsiteX7" fmla="*/ 11835093 w 11835093"/>
                <a:gd name="connsiteY7" fmla="*/ 726184 h 1929957"/>
                <a:gd name="connsiteX8" fmla="*/ 4732661 w 11835093"/>
                <a:gd name="connsiteY8" fmla="*/ 739677 h 1929957"/>
                <a:gd name="connsiteX9" fmla="*/ 4018680 w 11835093"/>
                <a:gd name="connsiteY9" fmla="*/ 1889420 h 1929957"/>
                <a:gd name="connsiteX10" fmla="*/ 30441 w 11835093"/>
                <a:gd name="connsiteY10" fmla="*/ 1913501 h 1929957"/>
                <a:gd name="connsiteX11" fmla="*/ 946 w 11835093"/>
                <a:gd name="connsiteY11" fmla="*/ 1321071 h 1929957"/>
                <a:gd name="connsiteX12" fmla="*/ 209419 w 11835093"/>
                <a:gd name="connsiteY12" fmla="*/ 1321801 h 1929957"/>
                <a:gd name="connsiteX13" fmla="*/ 371163 w 11835093"/>
                <a:gd name="connsiteY13" fmla="*/ 1826315 h 1929957"/>
                <a:gd name="connsiteX14" fmla="*/ 1510226 w 11835093"/>
                <a:gd name="connsiteY14" fmla="*/ 1835299 h 1929957"/>
                <a:gd name="connsiteX15" fmla="*/ 1637555 w 11835093"/>
                <a:gd name="connsiteY15" fmla="*/ 1243879 h 1929957"/>
                <a:gd name="connsiteX0" fmla="*/ 1631928 w 11835093"/>
                <a:gd name="connsiteY0" fmla="*/ 1236519 h 1929957"/>
                <a:gd name="connsiteX1" fmla="*/ 2369682 w 11835093"/>
                <a:gd name="connsiteY1" fmla="*/ 1250806 h 1929957"/>
                <a:gd name="connsiteX2" fmla="*/ 3284083 w 11835093"/>
                <a:gd name="connsiteY2" fmla="*/ 1194955 h 1929957"/>
                <a:gd name="connsiteX3" fmla="*/ 3762065 w 11835093"/>
                <a:gd name="connsiteY3" fmla="*/ 592282 h 1929957"/>
                <a:gd name="connsiteX4" fmla="*/ 4219264 w 11835093"/>
                <a:gd name="connsiteY4" fmla="*/ 83128 h 1929957"/>
                <a:gd name="connsiteX5" fmla="*/ 6172755 w 11835093"/>
                <a:gd name="connsiteY5" fmla="*/ 0 h 1929957"/>
                <a:gd name="connsiteX6" fmla="*/ 11814489 w 11835093"/>
                <a:gd name="connsiteY6" fmla="*/ 15660 h 1929957"/>
                <a:gd name="connsiteX7" fmla="*/ 11835093 w 11835093"/>
                <a:gd name="connsiteY7" fmla="*/ 726184 h 1929957"/>
                <a:gd name="connsiteX8" fmla="*/ 4732661 w 11835093"/>
                <a:gd name="connsiteY8" fmla="*/ 739677 h 1929957"/>
                <a:gd name="connsiteX9" fmla="*/ 4018680 w 11835093"/>
                <a:gd name="connsiteY9" fmla="*/ 1889420 h 1929957"/>
                <a:gd name="connsiteX10" fmla="*/ 30441 w 11835093"/>
                <a:gd name="connsiteY10" fmla="*/ 1913501 h 1929957"/>
                <a:gd name="connsiteX11" fmla="*/ 946 w 11835093"/>
                <a:gd name="connsiteY11" fmla="*/ 1321071 h 1929957"/>
                <a:gd name="connsiteX12" fmla="*/ 209419 w 11835093"/>
                <a:gd name="connsiteY12" fmla="*/ 1321801 h 1929957"/>
                <a:gd name="connsiteX13" fmla="*/ 380459 w 11835093"/>
                <a:gd name="connsiteY13" fmla="*/ 1847463 h 1929957"/>
                <a:gd name="connsiteX14" fmla="*/ 1510226 w 11835093"/>
                <a:gd name="connsiteY14" fmla="*/ 1835299 h 1929957"/>
                <a:gd name="connsiteX15" fmla="*/ 1637555 w 11835093"/>
                <a:gd name="connsiteY15" fmla="*/ 1243879 h 1929957"/>
                <a:gd name="connsiteX0" fmla="*/ 1631928 w 11835093"/>
                <a:gd name="connsiteY0" fmla="*/ 1236519 h 1929957"/>
                <a:gd name="connsiteX1" fmla="*/ 2369682 w 11835093"/>
                <a:gd name="connsiteY1" fmla="*/ 1250806 h 1929957"/>
                <a:gd name="connsiteX2" fmla="*/ 3284083 w 11835093"/>
                <a:gd name="connsiteY2" fmla="*/ 1194955 h 1929957"/>
                <a:gd name="connsiteX3" fmla="*/ 3762065 w 11835093"/>
                <a:gd name="connsiteY3" fmla="*/ 592282 h 1929957"/>
                <a:gd name="connsiteX4" fmla="*/ 4219264 w 11835093"/>
                <a:gd name="connsiteY4" fmla="*/ 83128 h 1929957"/>
                <a:gd name="connsiteX5" fmla="*/ 6172755 w 11835093"/>
                <a:gd name="connsiteY5" fmla="*/ 0 h 1929957"/>
                <a:gd name="connsiteX6" fmla="*/ 11814489 w 11835093"/>
                <a:gd name="connsiteY6" fmla="*/ 15660 h 1929957"/>
                <a:gd name="connsiteX7" fmla="*/ 11835093 w 11835093"/>
                <a:gd name="connsiteY7" fmla="*/ 726184 h 1929957"/>
                <a:gd name="connsiteX8" fmla="*/ 4732661 w 11835093"/>
                <a:gd name="connsiteY8" fmla="*/ 739677 h 1929957"/>
                <a:gd name="connsiteX9" fmla="*/ 4018680 w 11835093"/>
                <a:gd name="connsiteY9" fmla="*/ 1889420 h 1929957"/>
                <a:gd name="connsiteX10" fmla="*/ 30441 w 11835093"/>
                <a:gd name="connsiteY10" fmla="*/ 1913501 h 1929957"/>
                <a:gd name="connsiteX11" fmla="*/ 946 w 11835093"/>
                <a:gd name="connsiteY11" fmla="*/ 1321071 h 1929957"/>
                <a:gd name="connsiteX12" fmla="*/ 190827 w 11835093"/>
                <a:gd name="connsiteY12" fmla="*/ 1286554 h 1929957"/>
                <a:gd name="connsiteX13" fmla="*/ 380459 w 11835093"/>
                <a:gd name="connsiteY13" fmla="*/ 1847463 h 1929957"/>
                <a:gd name="connsiteX14" fmla="*/ 1510226 w 11835093"/>
                <a:gd name="connsiteY14" fmla="*/ 1835299 h 1929957"/>
                <a:gd name="connsiteX15" fmla="*/ 1637555 w 11835093"/>
                <a:gd name="connsiteY15" fmla="*/ 1243879 h 1929957"/>
                <a:gd name="connsiteX0" fmla="*/ 1640278 w 11843443"/>
                <a:gd name="connsiteY0" fmla="*/ 1236519 h 1929957"/>
                <a:gd name="connsiteX1" fmla="*/ 2378032 w 11843443"/>
                <a:gd name="connsiteY1" fmla="*/ 1250806 h 1929957"/>
                <a:gd name="connsiteX2" fmla="*/ 3292433 w 11843443"/>
                <a:gd name="connsiteY2" fmla="*/ 1194955 h 1929957"/>
                <a:gd name="connsiteX3" fmla="*/ 3770415 w 11843443"/>
                <a:gd name="connsiteY3" fmla="*/ 592282 h 1929957"/>
                <a:gd name="connsiteX4" fmla="*/ 4227614 w 11843443"/>
                <a:gd name="connsiteY4" fmla="*/ 83128 h 1929957"/>
                <a:gd name="connsiteX5" fmla="*/ 6181105 w 11843443"/>
                <a:gd name="connsiteY5" fmla="*/ 0 h 1929957"/>
                <a:gd name="connsiteX6" fmla="*/ 11822839 w 11843443"/>
                <a:gd name="connsiteY6" fmla="*/ 15660 h 1929957"/>
                <a:gd name="connsiteX7" fmla="*/ 11843443 w 11843443"/>
                <a:gd name="connsiteY7" fmla="*/ 726184 h 1929957"/>
                <a:gd name="connsiteX8" fmla="*/ 4741011 w 11843443"/>
                <a:gd name="connsiteY8" fmla="*/ 739677 h 1929957"/>
                <a:gd name="connsiteX9" fmla="*/ 4027030 w 11843443"/>
                <a:gd name="connsiteY9" fmla="*/ 1889420 h 1929957"/>
                <a:gd name="connsiteX10" fmla="*/ 38791 w 11843443"/>
                <a:gd name="connsiteY10" fmla="*/ 1913501 h 1929957"/>
                <a:gd name="connsiteX11" fmla="*/ 0 w 11843443"/>
                <a:gd name="connsiteY11" fmla="*/ 1285825 h 1929957"/>
                <a:gd name="connsiteX12" fmla="*/ 199177 w 11843443"/>
                <a:gd name="connsiteY12" fmla="*/ 1286554 h 1929957"/>
                <a:gd name="connsiteX13" fmla="*/ 388809 w 11843443"/>
                <a:gd name="connsiteY13" fmla="*/ 1847463 h 1929957"/>
                <a:gd name="connsiteX14" fmla="*/ 1518576 w 11843443"/>
                <a:gd name="connsiteY14" fmla="*/ 1835299 h 1929957"/>
                <a:gd name="connsiteX15" fmla="*/ 1645905 w 11843443"/>
                <a:gd name="connsiteY15" fmla="*/ 1243879 h 19299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1843443" h="1929957">
                  <a:moveTo>
                    <a:pt x="1640278" y="1236519"/>
                  </a:moveTo>
                  <a:cubicBezTo>
                    <a:pt x="1886196" y="1236519"/>
                    <a:pt x="2102673" y="1248208"/>
                    <a:pt x="2378032" y="1250806"/>
                  </a:cubicBezTo>
                  <a:cubicBezTo>
                    <a:pt x="2653391" y="1253404"/>
                    <a:pt x="3060369" y="1304709"/>
                    <a:pt x="3292433" y="1194955"/>
                  </a:cubicBezTo>
                  <a:cubicBezTo>
                    <a:pt x="3524497" y="1085201"/>
                    <a:pt x="3645723" y="808759"/>
                    <a:pt x="3770415" y="592282"/>
                  </a:cubicBezTo>
                  <a:cubicBezTo>
                    <a:pt x="3895107" y="375805"/>
                    <a:pt x="3825832" y="181842"/>
                    <a:pt x="4227614" y="83128"/>
                  </a:cubicBezTo>
                  <a:cubicBezTo>
                    <a:pt x="4629396" y="-15586"/>
                    <a:pt x="5353873" y="17174"/>
                    <a:pt x="6181105" y="0"/>
                  </a:cubicBezTo>
                  <a:lnTo>
                    <a:pt x="11822839" y="15660"/>
                  </a:lnTo>
                  <a:cubicBezTo>
                    <a:pt x="11841721" y="8291"/>
                    <a:pt x="11836752" y="698305"/>
                    <a:pt x="11843443" y="726184"/>
                  </a:cubicBezTo>
                  <a:cubicBezTo>
                    <a:pt x="11794613" y="728309"/>
                    <a:pt x="6364330" y="741813"/>
                    <a:pt x="4741011" y="739677"/>
                  </a:cubicBezTo>
                  <a:cubicBezTo>
                    <a:pt x="4292082" y="754556"/>
                    <a:pt x="4586101" y="1752260"/>
                    <a:pt x="4027030" y="1889420"/>
                  </a:cubicBezTo>
                  <a:cubicBezTo>
                    <a:pt x="3899120" y="1959533"/>
                    <a:pt x="3519155" y="1918482"/>
                    <a:pt x="38791" y="1913501"/>
                  </a:cubicBezTo>
                  <a:cubicBezTo>
                    <a:pt x="-24420" y="1646368"/>
                    <a:pt x="25315" y="1577922"/>
                    <a:pt x="0" y="1285825"/>
                  </a:cubicBezTo>
                  <a:cubicBezTo>
                    <a:pt x="64222" y="1284526"/>
                    <a:pt x="134955" y="1287853"/>
                    <a:pt x="199177" y="1286554"/>
                  </a:cubicBezTo>
                  <a:cubicBezTo>
                    <a:pt x="323868" y="1681409"/>
                    <a:pt x="319536" y="1629254"/>
                    <a:pt x="388809" y="1847463"/>
                  </a:cubicBezTo>
                  <a:cubicBezTo>
                    <a:pt x="624336" y="1837073"/>
                    <a:pt x="1320571" y="1838907"/>
                    <a:pt x="1518576" y="1835299"/>
                  </a:cubicBezTo>
                  <a:lnTo>
                    <a:pt x="1645905" y="1243879"/>
                  </a:lnTo>
                </a:path>
              </a:pathLst>
            </a:custGeom>
            <a:solidFill>
              <a:schemeClr val="accent6">
                <a:lumMod val="20000"/>
                <a:lumOff val="80000"/>
              </a:schemeClr>
            </a:solidFill>
            <a:ln w="12700">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96" name="Rectangle 95">
              <a:extLst>
                <a:ext uri="{FF2B5EF4-FFF2-40B4-BE49-F238E27FC236}">
                  <a16:creationId xmlns:a16="http://schemas.microsoft.com/office/drawing/2014/main" id="{6296BCC0-2B43-422C-988A-6CCE0436F5C8}"/>
                </a:ext>
              </a:extLst>
            </xdr:cNvPr>
            <xdr:cNvSpPr/>
          </xdr:nvSpPr>
          <xdr:spPr>
            <a:xfrm rot="7181360">
              <a:off x="3140491" y="3714667"/>
              <a:ext cx="931714" cy="49749"/>
            </a:xfrm>
            <a:prstGeom prst="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97" name="Trapezoid 96">
              <a:extLst>
                <a:ext uri="{FF2B5EF4-FFF2-40B4-BE49-F238E27FC236}">
                  <a16:creationId xmlns:a16="http://schemas.microsoft.com/office/drawing/2014/main" id="{4DDA9201-B33A-45A9-83FE-ED8BCA610984}"/>
                </a:ext>
              </a:extLst>
            </xdr:cNvPr>
            <xdr:cNvSpPr/>
          </xdr:nvSpPr>
          <xdr:spPr>
            <a:xfrm>
              <a:off x="2042605" y="4351117"/>
              <a:ext cx="291313" cy="142568"/>
            </a:xfrm>
            <a:prstGeom prst="trapezoid">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98" name="Freeform: Shape 97">
              <a:extLst>
                <a:ext uri="{FF2B5EF4-FFF2-40B4-BE49-F238E27FC236}">
                  <a16:creationId xmlns:a16="http://schemas.microsoft.com/office/drawing/2014/main" id="{CE31B4A8-E00D-4361-90BE-D301342D1FB5}"/>
                </a:ext>
              </a:extLst>
            </xdr:cNvPr>
            <xdr:cNvSpPr/>
          </xdr:nvSpPr>
          <xdr:spPr>
            <a:xfrm>
              <a:off x="4312596" y="2301799"/>
              <a:ext cx="1966392" cy="286486"/>
            </a:xfrm>
            <a:custGeom>
              <a:avLst/>
              <a:gdLst>
                <a:gd name="connsiteX0" fmla="*/ 0 w 2649682"/>
                <a:gd name="connsiteY0" fmla="*/ 332790 h 332790"/>
                <a:gd name="connsiteX1" fmla="*/ 1288473 w 2649682"/>
                <a:gd name="connsiteY1" fmla="*/ 281 h 332790"/>
                <a:gd name="connsiteX2" fmla="*/ 2649682 w 2649682"/>
                <a:gd name="connsiteY2" fmla="*/ 270444 h 332790"/>
                <a:gd name="connsiteX3" fmla="*/ 2649682 w 2649682"/>
                <a:gd name="connsiteY3" fmla="*/ 270444 h 332790"/>
              </a:gdLst>
              <a:ahLst/>
              <a:cxnLst>
                <a:cxn ang="0">
                  <a:pos x="connsiteX0" y="connsiteY0"/>
                </a:cxn>
                <a:cxn ang="0">
                  <a:pos x="connsiteX1" y="connsiteY1"/>
                </a:cxn>
                <a:cxn ang="0">
                  <a:pos x="connsiteX2" y="connsiteY2"/>
                </a:cxn>
                <a:cxn ang="0">
                  <a:pos x="connsiteX3" y="connsiteY3"/>
                </a:cxn>
              </a:cxnLst>
              <a:rect l="l" t="t" r="r" b="b"/>
              <a:pathLst>
                <a:path w="2649682" h="332790">
                  <a:moveTo>
                    <a:pt x="0" y="332790"/>
                  </a:moveTo>
                  <a:cubicBezTo>
                    <a:pt x="423429" y="171731"/>
                    <a:pt x="846859" y="10672"/>
                    <a:pt x="1288473" y="281"/>
                  </a:cubicBezTo>
                  <a:cubicBezTo>
                    <a:pt x="1730087" y="-10110"/>
                    <a:pt x="2649682" y="270444"/>
                    <a:pt x="2649682" y="270444"/>
                  </a:cubicBezTo>
                  <a:lnTo>
                    <a:pt x="2649682" y="270444"/>
                  </a:lnTo>
                </a:path>
              </a:pathLst>
            </a:custGeom>
            <a:noFill/>
            <a:ln w="539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99" name="Freeform: Shape 98">
              <a:extLst>
                <a:ext uri="{FF2B5EF4-FFF2-40B4-BE49-F238E27FC236}">
                  <a16:creationId xmlns:a16="http://schemas.microsoft.com/office/drawing/2014/main" id="{B7850E40-7540-4C0E-AC5C-89BF54EC891B}"/>
                </a:ext>
              </a:extLst>
            </xdr:cNvPr>
            <xdr:cNvSpPr/>
          </xdr:nvSpPr>
          <xdr:spPr>
            <a:xfrm>
              <a:off x="4344108" y="2570394"/>
              <a:ext cx="1926308" cy="31683"/>
            </a:xfrm>
            <a:custGeom>
              <a:avLst/>
              <a:gdLst>
                <a:gd name="connsiteX0" fmla="*/ 0 w 2317173"/>
                <a:gd name="connsiteY0" fmla="*/ 31173 h 31173"/>
                <a:gd name="connsiteX1" fmla="*/ 1340427 w 2317173"/>
                <a:gd name="connsiteY1" fmla="*/ 31173 h 31173"/>
                <a:gd name="connsiteX2" fmla="*/ 2317173 w 2317173"/>
                <a:gd name="connsiteY2" fmla="*/ 0 h 31173"/>
                <a:gd name="connsiteX3" fmla="*/ 2317173 w 2317173"/>
                <a:gd name="connsiteY3" fmla="*/ 0 h 31173"/>
              </a:gdLst>
              <a:ahLst/>
              <a:cxnLst>
                <a:cxn ang="0">
                  <a:pos x="connsiteX0" y="connsiteY0"/>
                </a:cxn>
                <a:cxn ang="0">
                  <a:pos x="connsiteX1" y="connsiteY1"/>
                </a:cxn>
                <a:cxn ang="0">
                  <a:pos x="connsiteX2" y="connsiteY2"/>
                </a:cxn>
                <a:cxn ang="0">
                  <a:pos x="connsiteX3" y="connsiteY3"/>
                </a:cxn>
              </a:cxnLst>
              <a:rect l="l" t="t" r="r" b="b"/>
              <a:pathLst>
                <a:path w="2317173" h="31173">
                  <a:moveTo>
                    <a:pt x="0" y="31173"/>
                  </a:moveTo>
                  <a:lnTo>
                    <a:pt x="1340427" y="31173"/>
                  </a:lnTo>
                  <a:cubicBezTo>
                    <a:pt x="1726622" y="25978"/>
                    <a:pt x="2317173" y="0"/>
                    <a:pt x="2317173" y="0"/>
                  </a:cubicBezTo>
                  <a:lnTo>
                    <a:pt x="2317173" y="0"/>
                  </a:lnTo>
                </a:path>
              </a:pathLst>
            </a:cu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00" name="Straight Connector 99">
              <a:extLst>
                <a:ext uri="{FF2B5EF4-FFF2-40B4-BE49-F238E27FC236}">
                  <a16:creationId xmlns:a16="http://schemas.microsoft.com/office/drawing/2014/main" id="{CBF2F98E-8ABD-4406-AAD5-243151997B94}"/>
                </a:ext>
              </a:extLst>
            </xdr:cNvPr>
            <xdr:cNvCxnSpPr>
              <a:cxnSpLocks/>
            </xdr:cNvCxnSpPr>
          </xdr:nvCxnSpPr>
          <xdr:spPr>
            <a:xfrm>
              <a:off x="6021765" y="2445042"/>
              <a:ext cx="1158" cy="796256"/>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E3F6C9E-CDFE-4A50-836E-7CE0AF927587}"/>
                </a:ext>
              </a:extLst>
            </xdr:cNvPr>
            <xdr:cNvCxnSpPr>
              <a:cxnSpLocks/>
              <a:stCxn id="106" idx="0"/>
            </xdr:cNvCxnSpPr>
          </xdr:nvCxnSpPr>
          <xdr:spPr>
            <a:xfrm flipH="1">
              <a:off x="6031497" y="2554727"/>
              <a:ext cx="259398" cy="686571"/>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96293F6D-1C46-4F13-AB30-3FECB593E922}"/>
                </a:ext>
              </a:extLst>
            </xdr:cNvPr>
            <xdr:cNvCxnSpPr>
              <a:cxnSpLocks/>
            </xdr:cNvCxnSpPr>
          </xdr:nvCxnSpPr>
          <xdr:spPr>
            <a:xfrm flipH="1">
              <a:off x="6025698" y="2755027"/>
              <a:ext cx="189011" cy="0"/>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15AACB42-0462-471E-A557-92B42EA9D029}"/>
                </a:ext>
              </a:extLst>
            </xdr:cNvPr>
            <xdr:cNvCxnSpPr>
              <a:cxnSpLocks/>
            </xdr:cNvCxnSpPr>
          </xdr:nvCxnSpPr>
          <xdr:spPr>
            <a:xfrm flipH="1">
              <a:off x="6015507" y="2965750"/>
              <a:ext cx="113477" cy="0"/>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04" name="Rectangle: Rounded Corners 103">
              <a:extLst>
                <a:ext uri="{FF2B5EF4-FFF2-40B4-BE49-F238E27FC236}">
                  <a16:creationId xmlns:a16="http://schemas.microsoft.com/office/drawing/2014/main" id="{39BAB45B-8ECC-4E7E-B1D9-4994C89AE9E8}"/>
                </a:ext>
              </a:extLst>
            </xdr:cNvPr>
            <xdr:cNvSpPr/>
          </xdr:nvSpPr>
          <xdr:spPr>
            <a:xfrm>
              <a:off x="6053511" y="3103043"/>
              <a:ext cx="112118" cy="321082"/>
            </a:xfrm>
            <a:prstGeom prst="roundRect">
              <a:avLst/>
            </a:prstGeom>
            <a:solidFill>
              <a:schemeClr val="tx1">
                <a:lumMod val="85000"/>
                <a:lumOff val="15000"/>
              </a:schemeClr>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05" name="Freeform: Shape 104">
              <a:extLst>
                <a:ext uri="{FF2B5EF4-FFF2-40B4-BE49-F238E27FC236}">
                  <a16:creationId xmlns:a16="http://schemas.microsoft.com/office/drawing/2014/main" id="{9186C0A9-7B0B-42DD-B3A0-A78BE935C706}"/>
                </a:ext>
              </a:extLst>
            </xdr:cNvPr>
            <xdr:cNvSpPr/>
          </xdr:nvSpPr>
          <xdr:spPr>
            <a:xfrm>
              <a:off x="6265173" y="2259295"/>
              <a:ext cx="1946322" cy="286486"/>
            </a:xfrm>
            <a:custGeom>
              <a:avLst/>
              <a:gdLst>
                <a:gd name="connsiteX0" fmla="*/ 0 w 2649682"/>
                <a:gd name="connsiteY0" fmla="*/ 332790 h 332790"/>
                <a:gd name="connsiteX1" fmla="*/ 1288473 w 2649682"/>
                <a:gd name="connsiteY1" fmla="*/ 281 h 332790"/>
                <a:gd name="connsiteX2" fmla="*/ 2649682 w 2649682"/>
                <a:gd name="connsiteY2" fmla="*/ 270444 h 332790"/>
                <a:gd name="connsiteX3" fmla="*/ 2649682 w 2649682"/>
                <a:gd name="connsiteY3" fmla="*/ 270444 h 332790"/>
              </a:gdLst>
              <a:ahLst/>
              <a:cxnLst>
                <a:cxn ang="0">
                  <a:pos x="connsiteX0" y="connsiteY0"/>
                </a:cxn>
                <a:cxn ang="0">
                  <a:pos x="connsiteX1" y="connsiteY1"/>
                </a:cxn>
                <a:cxn ang="0">
                  <a:pos x="connsiteX2" y="connsiteY2"/>
                </a:cxn>
                <a:cxn ang="0">
                  <a:pos x="connsiteX3" y="connsiteY3"/>
                </a:cxn>
              </a:cxnLst>
              <a:rect l="l" t="t" r="r" b="b"/>
              <a:pathLst>
                <a:path w="2649682" h="332790">
                  <a:moveTo>
                    <a:pt x="0" y="332790"/>
                  </a:moveTo>
                  <a:cubicBezTo>
                    <a:pt x="423429" y="171731"/>
                    <a:pt x="846859" y="10672"/>
                    <a:pt x="1288473" y="281"/>
                  </a:cubicBezTo>
                  <a:cubicBezTo>
                    <a:pt x="1730087" y="-10110"/>
                    <a:pt x="2649682" y="270444"/>
                    <a:pt x="2649682" y="270444"/>
                  </a:cubicBezTo>
                  <a:lnTo>
                    <a:pt x="2649682" y="270444"/>
                  </a:lnTo>
                </a:path>
              </a:pathLst>
            </a:custGeom>
            <a:noFill/>
            <a:ln w="539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06" name="Freeform: Shape 105">
              <a:extLst>
                <a:ext uri="{FF2B5EF4-FFF2-40B4-BE49-F238E27FC236}">
                  <a16:creationId xmlns:a16="http://schemas.microsoft.com/office/drawing/2014/main" id="{8991682B-570A-4B32-8CC7-05C815F18173}"/>
                </a:ext>
              </a:extLst>
            </xdr:cNvPr>
            <xdr:cNvSpPr/>
          </xdr:nvSpPr>
          <xdr:spPr>
            <a:xfrm>
              <a:off x="6290895" y="2527891"/>
              <a:ext cx="1912026" cy="26836"/>
            </a:xfrm>
            <a:custGeom>
              <a:avLst/>
              <a:gdLst>
                <a:gd name="connsiteX0" fmla="*/ 0 w 2317173"/>
                <a:gd name="connsiteY0" fmla="*/ 31173 h 31173"/>
                <a:gd name="connsiteX1" fmla="*/ 1340427 w 2317173"/>
                <a:gd name="connsiteY1" fmla="*/ 31173 h 31173"/>
                <a:gd name="connsiteX2" fmla="*/ 2317173 w 2317173"/>
                <a:gd name="connsiteY2" fmla="*/ 0 h 31173"/>
                <a:gd name="connsiteX3" fmla="*/ 2317173 w 2317173"/>
                <a:gd name="connsiteY3" fmla="*/ 0 h 31173"/>
              </a:gdLst>
              <a:ahLst/>
              <a:cxnLst>
                <a:cxn ang="0">
                  <a:pos x="connsiteX0" y="connsiteY0"/>
                </a:cxn>
                <a:cxn ang="0">
                  <a:pos x="connsiteX1" y="connsiteY1"/>
                </a:cxn>
                <a:cxn ang="0">
                  <a:pos x="connsiteX2" y="connsiteY2"/>
                </a:cxn>
                <a:cxn ang="0">
                  <a:pos x="connsiteX3" y="connsiteY3"/>
                </a:cxn>
              </a:cxnLst>
              <a:rect l="l" t="t" r="r" b="b"/>
              <a:pathLst>
                <a:path w="2317173" h="31173">
                  <a:moveTo>
                    <a:pt x="0" y="31173"/>
                  </a:moveTo>
                  <a:lnTo>
                    <a:pt x="1340427" y="31173"/>
                  </a:lnTo>
                  <a:cubicBezTo>
                    <a:pt x="1726622" y="25978"/>
                    <a:pt x="2317173" y="0"/>
                    <a:pt x="2317173" y="0"/>
                  </a:cubicBezTo>
                  <a:lnTo>
                    <a:pt x="2317173" y="0"/>
                  </a:lnTo>
                </a:path>
              </a:pathLst>
            </a:cu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07" name="Straight Connector 106">
              <a:extLst>
                <a:ext uri="{FF2B5EF4-FFF2-40B4-BE49-F238E27FC236}">
                  <a16:creationId xmlns:a16="http://schemas.microsoft.com/office/drawing/2014/main" id="{6686CC0C-CDEE-4AF1-9EB5-DF5D88DADC3E}"/>
                </a:ext>
              </a:extLst>
            </xdr:cNvPr>
            <xdr:cNvCxnSpPr>
              <a:cxnSpLocks/>
            </xdr:cNvCxnSpPr>
          </xdr:nvCxnSpPr>
          <xdr:spPr>
            <a:xfrm>
              <a:off x="7954272" y="2402538"/>
              <a:ext cx="1158" cy="796256"/>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5F39CC11-B54A-4C2D-845F-0F94C8883050}"/>
                </a:ext>
              </a:extLst>
            </xdr:cNvPr>
            <xdr:cNvCxnSpPr>
              <a:cxnSpLocks/>
            </xdr:cNvCxnSpPr>
          </xdr:nvCxnSpPr>
          <xdr:spPr>
            <a:xfrm flipH="1">
              <a:off x="7964004" y="2513832"/>
              <a:ext cx="253307" cy="684963"/>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EB85E105-8EE4-48CB-93FB-1E53824AD3F9}"/>
                </a:ext>
              </a:extLst>
            </xdr:cNvPr>
            <xdr:cNvCxnSpPr>
              <a:cxnSpLocks/>
            </xdr:cNvCxnSpPr>
          </xdr:nvCxnSpPr>
          <xdr:spPr>
            <a:xfrm flipH="1">
              <a:off x="7951949" y="2712760"/>
              <a:ext cx="194368" cy="0"/>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F393288B-6931-4BD1-8B85-E9CC2291A2A9}"/>
                </a:ext>
              </a:extLst>
            </xdr:cNvPr>
            <xdr:cNvCxnSpPr>
              <a:cxnSpLocks/>
            </xdr:cNvCxnSpPr>
          </xdr:nvCxnSpPr>
          <xdr:spPr>
            <a:xfrm flipH="1">
              <a:off x="7948013" y="2923246"/>
              <a:ext cx="110306" cy="0"/>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11" name="Rectangle: Rounded Corners 110">
              <a:extLst>
                <a:ext uri="{FF2B5EF4-FFF2-40B4-BE49-F238E27FC236}">
                  <a16:creationId xmlns:a16="http://schemas.microsoft.com/office/drawing/2014/main" id="{F251C2E0-F484-4F0B-8A5F-D1745B12F277}"/>
                </a:ext>
              </a:extLst>
            </xdr:cNvPr>
            <xdr:cNvSpPr/>
          </xdr:nvSpPr>
          <xdr:spPr>
            <a:xfrm>
              <a:off x="7977443" y="3102225"/>
              <a:ext cx="112118" cy="321082"/>
            </a:xfrm>
            <a:prstGeom prst="roundRect">
              <a:avLst/>
            </a:prstGeom>
            <a:solidFill>
              <a:schemeClr val="tx1">
                <a:lumMod val="85000"/>
                <a:lumOff val="15000"/>
              </a:schemeClr>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12" name="Straight Connector 111">
              <a:extLst>
                <a:ext uri="{FF2B5EF4-FFF2-40B4-BE49-F238E27FC236}">
                  <a16:creationId xmlns:a16="http://schemas.microsoft.com/office/drawing/2014/main" id="{148427E8-6284-4336-A82E-448DCCC43751}"/>
                </a:ext>
              </a:extLst>
            </xdr:cNvPr>
            <xdr:cNvCxnSpPr>
              <a:cxnSpLocks/>
              <a:endCxn id="95" idx="4"/>
            </xdr:cNvCxnSpPr>
          </xdr:nvCxnSpPr>
          <xdr:spPr>
            <a:xfrm flipH="1">
              <a:off x="4109742" y="2599006"/>
              <a:ext cx="202855" cy="901685"/>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4754FF0-543E-4665-86D7-676D1F8FE171}"/>
                </a:ext>
              </a:extLst>
            </xdr:cNvPr>
            <xdr:cNvCxnSpPr>
              <a:cxnSpLocks/>
            </xdr:cNvCxnSpPr>
          </xdr:nvCxnSpPr>
          <xdr:spPr>
            <a:xfrm>
              <a:off x="4226864" y="2965750"/>
              <a:ext cx="178921" cy="0"/>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4" name="Straight Connector 113">
              <a:extLst>
                <a:ext uri="{FF2B5EF4-FFF2-40B4-BE49-F238E27FC236}">
                  <a16:creationId xmlns:a16="http://schemas.microsoft.com/office/drawing/2014/main" id="{6CBA1E56-BCEC-4117-B750-F90F02830C86}"/>
                </a:ext>
              </a:extLst>
            </xdr:cNvPr>
            <xdr:cNvCxnSpPr>
              <a:cxnSpLocks/>
            </xdr:cNvCxnSpPr>
          </xdr:nvCxnSpPr>
          <xdr:spPr>
            <a:xfrm>
              <a:off x="4159366" y="3263584"/>
              <a:ext cx="321623" cy="0"/>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15" name="Rectangle 114">
              <a:extLst>
                <a:ext uri="{FF2B5EF4-FFF2-40B4-BE49-F238E27FC236}">
                  <a16:creationId xmlns:a16="http://schemas.microsoft.com/office/drawing/2014/main" id="{867CC720-6CF3-4E8A-ACFE-0E2A03187ABB}"/>
                </a:ext>
              </a:extLst>
            </xdr:cNvPr>
            <xdr:cNvSpPr/>
          </xdr:nvSpPr>
          <xdr:spPr>
            <a:xfrm rot="10800000">
              <a:off x="3919347" y="3321985"/>
              <a:ext cx="406544" cy="43703"/>
            </a:xfrm>
            <a:prstGeom prst="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16" name="Rectangle 115">
              <a:extLst>
                <a:ext uri="{FF2B5EF4-FFF2-40B4-BE49-F238E27FC236}">
                  <a16:creationId xmlns:a16="http://schemas.microsoft.com/office/drawing/2014/main" id="{6580900D-338D-4090-8870-52F1CB27CB5A}"/>
                </a:ext>
              </a:extLst>
            </xdr:cNvPr>
            <xdr:cNvSpPr/>
          </xdr:nvSpPr>
          <xdr:spPr>
            <a:xfrm rot="16200000">
              <a:off x="3929059" y="2951799"/>
              <a:ext cx="790052" cy="37725"/>
            </a:xfrm>
            <a:prstGeom prst="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17" name="Rectangle 116">
              <a:extLst>
                <a:ext uri="{FF2B5EF4-FFF2-40B4-BE49-F238E27FC236}">
                  <a16:creationId xmlns:a16="http://schemas.microsoft.com/office/drawing/2014/main" id="{176AACBC-11CF-4281-AE6A-17F1DB623B75}"/>
                </a:ext>
              </a:extLst>
            </xdr:cNvPr>
            <xdr:cNvSpPr/>
          </xdr:nvSpPr>
          <xdr:spPr>
            <a:xfrm rot="10800000">
              <a:off x="8197695" y="2471692"/>
              <a:ext cx="350899" cy="39358"/>
            </a:xfrm>
            <a:prstGeom prst="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18" name="Freeform: Shape 117">
              <a:extLst>
                <a:ext uri="{FF2B5EF4-FFF2-40B4-BE49-F238E27FC236}">
                  <a16:creationId xmlns:a16="http://schemas.microsoft.com/office/drawing/2014/main" id="{419758D9-40DB-4424-A5C4-6A4C6FE3DB08}"/>
                </a:ext>
              </a:extLst>
            </xdr:cNvPr>
            <xdr:cNvSpPr/>
          </xdr:nvSpPr>
          <xdr:spPr>
            <a:xfrm>
              <a:off x="7175733" y="2137884"/>
              <a:ext cx="1362527" cy="344861"/>
            </a:xfrm>
            <a:custGeom>
              <a:avLst/>
              <a:gdLst>
                <a:gd name="connsiteX0" fmla="*/ 0 w 1735282"/>
                <a:gd name="connsiteY0" fmla="*/ 145473 h 446809"/>
                <a:gd name="connsiteX1" fmla="*/ 987136 w 1735282"/>
                <a:gd name="connsiteY1" fmla="*/ 0 h 446809"/>
                <a:gd name="connsiteX2" fmla="*/ 1735282 w 1735282"/>
                <a:gd name="connsiteY2" fmla="*/ 446809 h 446809"/>
                <a:gd name="connsiteX0" fmla="*/ 0 w 1487632"/>
                <a:gd name="connsiteY0" fmla="*/ 145473 h 446809"/>
                <a:gd name="connsiteX1" fmla="*/ 987136 w 1487632"/>
                <a:gd name="connsiteY1" fmla="*/ 0 h 446809"/>
                <a:gd name="connsiteX2" fmla="*/ 1487632 w 1487632"/>
                <a:gd name="connsiteY2" fmla="*/ 446809 h 446809"/>
              </a:gdLst>
              <a:ahLst/>
              <a:cxnLst>
                <a:cxn ang="0">
                  <a:pos x="connsiteX0" y="connsiteY0"/>
                </a:cxn>
                <a:cxn ang="0">
                  <a:pos x="connsiteX1" y="connsiteY1"/>
                </a:cxn>
                <a:cxn ang="0">
                  <a:pos x="connsiteX2" y="connsiteY2"/>
                </a:cxn>
              </a:cxnLst>
              <a:rect l="l" t="t" r="r" b="b"/>
              <a:pathLst>
                <a:path w="1487632" h="446809">
                  <a:moveTo>
                    <a:pt x="0" y="145473"/>
                  </a:moveTo>
                  <a:lnTo>
                    <a:pt x="987136" y="0"/>
                  </a:lnTo>
                  <a:lnTo>
                    <a:pt x="1487632" y="446809"/>
                  </a:lnTo>
                </a:path>
              </a:pathLst>
            </a:cu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19" name="Freeform: Shape 118">
              <a:extLst>
                <a:ext uri="{FF2B5EF4-FFF2-40B4-BE49-F238E27FC236}">
                  <a16:creationId xmlns:a16="http://schemas.microsoft.com/office/drawing/2014/main" id="{52EB35EF-8AAA-43C3-81A5-EF8B0717E5CF}"/>
                </a:ext>
              </a:extLst>
            </xdr:cNvPr>
            <xdr:cNvSpPr/>
          </xdr:nvSpPr>
          <xdr:spPr>
            <a:xfrm>
              <a:off x="4701353" y="2346766"/>
              <a:ext cx="1080338" cy="250464"/>
            </a:xfrm>
            <a:custGeom>
              <a:avLst/>
              <a:gdLst>
                <a:gd name="connsiteX0" fmla="*/ 0 w 1309255"/>
                <a:gd name="connsiteY0" fmla="*/ 135082 h 290946"/>
                <a:gd name="connsiteX1" fmla="*/ 207818 w 1309255"/>
                <a:gd name="connsiteY1" fmla="*/ 290946 h 290946"/>
                <a:gd name="connsiteX2" fmla="*/ 488373 w 1309255"/>
                <a:gd name="connsiteY2" fmla="*/ 0 h 290946"/>
                <a:gd name="connsiteX3" fmla="*/ 841664 w 1309255"/>
                <a:gd name="connsiteY3" fmla="*/ 290946 h 290946"/>
                <a:gd name="connsiteX4" fmla="*/ 1049482 w 1309255"/>
                <a:gd name="connsiteY4" fmla="*/ 41564 h 290946"/>
                <a:gd name="connsiteX5" fmla="*/ 1309255 w 1309255"/>
                <a:gd name="connsiteY5" fmla="*/ 280555 h 290946"/>
                <a:gd name="connsiteX0" fmla="*/ 0 w 1309255"/>
                <a:gd name="connsiteY0" fmla="*/ 135082 h 290946"/>
                <a:gd name="connsiteX1" fmla="*/ 207818 w 1309255"/>
                <a:gd name="connsiteY1" fmla="*/ 290946 h 290946"/>
                <a:gd name="connsiteX2" fmla="*/ 488373 w 1309255"/>
                <a:gd name="connsiteY2" fmla="*/ 0 h 290946"/>
                <a:gd name="connsiteX3" fmla="*/ 841664 w 1309255"/>
                <a:gd name="connsiteY3" fmla="*/ 290946 h 290946"/>
                <a:gd name="connsiteX4" fmla="*/ 1049482 w 1309255"/>
                <a:gd name="connsiteY4" fmla="*/ 20782 h 290946"/>
                <a:gd name="connsiteX5" fmla="*/ 1309255 w 1309255"/>
                <a:gd name="connsiteY5" fmla="*/ 280555 h 2909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09255" h="290946">
                  <a:moveTo>
                    <a:pt x="0" y="135082"/>
                  </a:moveTo>
                  <a:lnTo>
                    <a:pt x="207818" y="290946"/>
                  </a:lnTo>
                  <a:lnTo>
                    <a:pt x="488373" y="0"/>
                  </a:lnTo>
                  <a:lnTo>
                    <a:pt x="841664" y="290946"/>
                  </a:lnTo>
                  <a:lnTo>
                    <a:pt x="1049482" y="20782"/>
                  </a:lnTo>
                  <a:lnTo>
                    <a:pt x="1309255" y="280555"/>
                  </a:lnTo>
                </a:path>
              </a:pathLst>
            </a:cu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20" name="Freeform: Shape 119">
              <a:extLst>
                <a:ext uri="{FF2B5EF4-FFF2-40B4-BE49-F238E27FC236}">
                  <a16:creationId xmlns:a16="http://schemas.microsoft.com/office/drawing/2014/main" id="{98D775F5-C8F1-40B4-8E15-02981A8BFF16}"/>
                </a:ext>
              </a:extLst>
            </xdr:cNvPr>
            <xdr:cNvSpPr/>
          </xdr:nvSpPr>
          <xdr:spPr>
            <a:xfrm>
              <a:off x="6647674" y="2291123"/>
              <a:ext cx="1083516" cy="254658"/>
            </a:xfrm>
            <a:custGeom>
              <a:avLst/>
              <a:gdLst>
                <a:gd name="connsiteX0" fmla="*/ 0 w 1309255"/>
                <a:gd name="connsiteY0" fmla="*/ 135082 h 290946"/>
                <a:gd name="connsiteX1" fmla="*/ 207818 w 1309255"/>
                <a:gd name="connsiteY1" fmla="*/ 290946 h 290946"/>
                <a:gd name="connsiteX2" fmla="*/ 488373 w 1309255"/>
                <a:gd name="connsiteY2" fmla="*/ 0 h 290946"/>
                <a:gd name="connsiteX3" fmla="*/ 841664 w 1309255"/>
                <a:gd name="connsiteY3" fmla="*/ 290946 h 290946"/>
                <a:gd name="connsiteX4" fmla="*/ 1049482 w 1309255"/>
                <a:gd name="connsiteY4" fmla="*/ 41564 h 290946"/>
                <a:gd name="connsiteX5" fmla="*/ 1309255 w 1309255"/>
                <a:gd name="connsiteY5" fmla="*/ 280555 h 290946"/>
                <a:gd name="connsiteX0" fmla="*/ 0 w 1309255"/>
                <a:gd name="connsiteY0" fmla="*/ 135082 h 290946"/>
                <a:gd name="connsiteX1" fmla="*/ 207818 w 1309255"/>
                <a:gd name="connsiteY1" fmla="*/ 290946 h 290946"/>
                <a:gd name="connsiteX2" fmla="*/ 488373 w 1309255"/>
                <a:gd name="connsiteY2" fmla="*/ 0 h 290946"/>
                <a:gd name="connsiteX3" fmla="*/ 841664 w 1309255"/>
                <a:gd name="connsiteY3" fmla="*/ 290946 h 290946"/>
                <a:gd name="connsiteX4" fmla="*/ 1049482 w 1309255"/>
                <a:gd name="connsiteY4" fmla="*/ 20782 h 290946"/>
                <a:gd name="connsiteX5" fmla="*/ 1309255 w 1309255"/>
                <a:gd name="connsiteY5" fmla="*/ 280555 h 2909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09255" h="290946">
                  <a:moveTo>
                    <a:pt x="0" y="135082"/>
                  </a:moveTo>
                  <a:lnTo>
                    <a:pt x="207818" y="290946"/>
                  </a:lnTo>
                  <a:lnTo>
                    <a:pt x="488373" y="0"/>
                  </a:lnTo>
                  <a:lnTo>
                    <a:pt x="841664" y="290946"/>
                  </a:lnTo>
                  <a:lnTo>
                    <a:pt x="1049482" y="20782"/>
                  </a:lnTo>
                  <a:lnTo>
                    <a:pt x="1309255" y="280555"/>
                  </a:lnTo>
                </a:path>
              </a:pathLst>
            </a:cu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21" name="Straight Connector 120">
              <a:extLst>
                <a:ext uri="{FF2B5EF4-FFF2-40B4-BE49-F238E27FC236}">
                  <a16:creationId xmlns:a16="http://schemas.microsoft.com/office/drawing/2014/main" id="{DFAD1A08-AEF9-4EAD-9EBA-491FA42365BF}"/>
                </a:ext>
              </a:extLst>
            </xdr:cNvPr>
            <xdr:cNvCxnSpPr>
              <a:cxnSpLocks/>
              <a:stCxn id="118" idx="1"/>
            </xdr:cNvCxnSpPr>
          </xdr:nvCxnSpPr>
          <xdr:spPr>
            <a:xfrm>
              <a:off x="8079855" y="2137884"/>
              <a:ext cx="38279" cy="300015"/>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C352AC21-FF70-4ACC-960E-B47CF5E381A3}"/>
                </a:ext>
              </a:extLst>
            </xdr:cNvPr>
            <xdr:cNvCxnSpPr>
              <a:cxnSpLocks/>
            </xdr:cNvCxnSpPr>
          </xdr:nvCxnSpPr>
          <xdr:spPr>
            <a:xfrm>
              <a:off x="4846483" y="2402538"/>
              <a:ext cx="11435" cy="460804"/>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23" name="Trapezoid 122">
              <a:extLst>
                <a:ext uri="{FF2B5EF4-FFF2-40B4-BE49-F238E27FC236}">
                  <a16:creationId xmlns:a16="http://schemas.microsoft.com/office/drawing/2014/main" id="{5B37494E-D84B-4D54-9939-5F0DF809A859}"/>
                </a:ext>
              </a:extLst>
            </xdr:cNvPr>
            <xdr:cNvSpPr/>
          </xdr:nvSpPr>
          <xdr:spPr>
            <a:xfrm rot="10800000">
              <a:off x="4839055" y="2811647"/>
              <a:ext cx="37725" cy="76897"/>
            </a:xfrm>
            <a:prstGeom prst="trapezoid">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24" name="Trapezoid 123">
              <a:extLst>
                <a:ext uri="{FF2B5EF4-FFF2-40B4-BE49-F238E27FC236}">
                  <a16:creationId xmlns:a16="http://schemas.microsoft.com/office/drawing/2014/main" id="{B08A2376-709E-4AE8-A89A-CF9551029524}"/>
                </a:ext>
              </a:extLst>
            </xdr:cNvPr>
            <xdr:cNvSpPr/>
          </xdr:nvSpPr>
          <xdr:spPr>
            <a:xfrm>
              <a:off x="4839055" y="2846239"/>
              <a:ext cx="37725" cy="48825"/>
            </a:xfrm>
            <a:prstGeom prst="trapezoid">
              <a:avLst/>
            </a:prstGeom>
            <a:no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25" name="Trapezoid 124">
              <a:extLst>
                <a:ext uri="{FF2B5EF4-FFF2-40B4-BE49-F238E27FC236}">
                  <a16:creationId xmlns:a16="http://schemas.microsoft.com/office/drawing/2014/main" id="{E9380498-B604-4FB5-B86C-BE05790C6AFD}"/>
                </a:ext>
              </a:extLst>
            </xdr:cNvPr>
            <xdr:cNvSpPr/>
          </xdr:nvSpPr>
          <xdr:spPr>
            <a:xfrm>
              <a:off x="4680947" y="2900160"/>
              <a:ext cx="353940" cy="278099"/>
            </a:xfrm>
            <a:prstGeom prst="trapezoid">
              <a:avLst>
                <a:gd name="adj" fmla="val 139559"/>
              </a:avLst>
            </a:prstGeom>
            <a:gradFill flip="none" rotWithShape="1">
              <a:gsLst>
                <a:gs pos="0">
                  <a:schemeClr val="accent5">
                    <a:lumMod val="75000"/>
                  </a:schemeClr>
                </a:gs>
                <a:gs pos="100000">
                  <a:srgbClr val="00B0F0"/>
                </a:gs>
                <a:gs pos="100000">
                  <a:schemeClr val="accent5">
                    <a:lumMod val="45000"/>
                    <a:lumOff val="55000"/>
                  </a:schemeClr>
                </a:gs>
                <a:gs pos="100000">
                  <a:schemeClr val="accent5">
                    <a:lumMod val="30000"/>
                    <a:lumOff val="7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26" name="Straight Connector 125">
              <a:extLst>
                <a:ext uri="{FF2B5EF4-FFF2-40B4-BE49-F238E27FC236}">
                  <a16:creationId xmlns:a16="http://schemas.microsoft.com/office/drawing/2014/main" id="{C2E302C3-ED97-4EE2-B794-02EC4706594F}"/>
                </a:ext>
              </a:extLst>
            </xdr:cNvPr>
            <xdr:cNvCxnSpPr>
              <a:cxnSpLocks/>
            </xdr:cNvCxnSpPr>
          </xdr:nvCxnSpPr>
          <xdr:spPr>
            <a:xfrm>
              <a:off x="5264086" y="2321464"/>
              <a:ext cx="12542" cy="561301"/>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27" name="Trapezoid 126">
              <a:extLst>
                <a:ext uri="{FF2B5EF4-FFF2-40B4-BE49-F238E27FC236}">
                  <a16:creationId xmlns:a16="http://schemas.microsoft.com/office/drawing/2014/main" id="{C7B9D58A-135E-42E0-BDA9-F7EB71AEBEC1}"/>
                </a:ext>
              </a:extLst>
            </xdr:cNvPr>
            <xdr:cNvSpPr/>
          </xdr:nvSpPr>
          <xdr:spPr>
            <a:xfrm rot="10800000">
              <a:off x="5259216" y="2809598"/>
              <a:ext cx="37725" cy="76897"/>
            </a:xfrm>
            <a:prstGeom prst="trapezoid">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28" name="Trapezoid 127">
              <a:extLst>
                <a:ext uri="{FF2B5EF4-FFF2-40B4-BE49-F238E27FC236}">
                  <a16:creationId xmlns:a16="http://schemas.microsoft.com/office/drawing/2014/main" id="{B720EBBF-341B-4564-A62F-74F54BB95B2C}"/>
                </a:ext>
              </a:extLst>
            </xdr:cNvPr>
            <xdr:cNvSpPr/>
          </xdr:nvSpPr>
          <xdr:spPr>
            <a:xfrm>
              <a:off x="5259216" y="2846239"/>
              <a:ext cx="37725" cy="48825"/>
            </a:xfrm>
            <a:prstGeom prst="trapezoid">
              <a:avLst/>
            </a:prstGeom>
            <a:no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29" name="Trapezoid 128">
              <a:extLst>
                <a:ext uri="{FF2B5EF4-FFF2-40B4-BE49-F238E27FC236}">
                  <a16:creationId xmlns:a16="http://schemas.microsoft.com/office/drawing/2014/main" id="{4235C49C-9B47-415D-B7CD-07D7418B6C7B}"/>
                </a:ext>
              </a:extLst>
            </xdr:cNvPr>
            <xdr:cNvSpPr/>
          </xdr:nvSpPr>
          <xdr:spPr>
            <a:xfrm>
              <a:off x="5103073" y="2900160"/>
              <a:ext cx="353940" cy="278099"/>
            </a:xfrm>
            <a:prstGeom prst="trapezoid">
              <a:avLst>
                <a:gd name="adj" fmla="val 139559"/>
              </a:avLst>
            </a:prstGeom>
            <a:gradFill flip="none" rotWithShape="1">
              <a:gsLst>
                <a:gs pos="0">
                  <a:schemeClr val="accent5">
                    <a:lumMod val="75000"/>
                  </a:schemeClr>
                </a:gs>
                <a:gs pos="100000">
                  <a:srgbClr val="00B0F0"/>
                </a:gs>
                <a:gs pos="100000">
                  <a:schemeClr val="accent5">
                    <a:lumMod val="45000"/>
                    <a:lumOff val="55000"/>
                  </a:schemeClr>
                </a:gs>
                <a:gs pos="100000">
                  <a:schemeClr val="accent5">
                    <a:lumMod val="30000"/>
                    <a:lumOff val="7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30" name="Straight Connector 129">
              <a:extLst>
                <a:ext uri="{FF2B5EF4-FFF2-40B4-BE49-F238E27FC236}">
                  <a16:creationId xmlns:a16="http://schemas.microsoft.com/office/drawing/2014/main" id="{DC7B0E4A-3745-4EE3-9917-0B28DB708CBA}"/>
                </a:ext>
              </a:extLst>
            </xdr:cNvPr>
            <xdr:cNvCxnSpPr>
              <a:cxnSpLocks/>
            </xdr:cNvCxnSpPr>
          </xdr:nvCxnSpPr>
          <xdr:spPr>
            <a:xfrm>
              <a:off x="5708204" y="2382003"/>
              <a:ext cx="11435" cy="473003"/>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31" name="Trapezoid 130">
              <a:extLst>
                <a:ext uri="{FF2B5EF4-FFF2-40B4-BE49-F238E27FC236}">
                  <a16:creationId xmlns:a16="http://schemas.microsoft.com/office/drawing/2014/main" id="{AF926D22-906C-4EC5-BBD3-EBCD4055C9B3}"/>
                </a:ext>
              </a:extLst>
            </xdr:cNvPr>
            <xdr:cNvSpPr/>
          </xdr:nvSpPr>
          <xdr:spPr>
            <a:xfrm rot="10800000">
              <a:off x="5700776" y="2801942"/>
              <a:ext cx="37725" cy="78933"/>
            </a:xfrm>
            <a:prstGeom prst="trapezoid">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32" name="Trapezoid 131">
              <a:extLst>
                <a:ext uri="{FF2B5EF4-FFF2-40B4-BE49-F238E27FC236}">
                  <a16:creationId xmlns:a16="http://schemas.microsoft.com/office/drawing/2014/main" id="{3852713C-E3BC-41F5-9158-EBB958F360A8}"/>
                </a:ext>
              </a:extLst>
            </xdr:cNvPr>
            <xdr:cNvSpPr/>
          </xdr:nvSpPr>
          <xdr:spPr>
            <a:xfrm>
              <a:off x="5700776" y="2837449"/>
              <a:ext cx="37725" cy="50117"/>
            </a:xfrm>
            <a:prstGeom prst="trapezoid">
              <a:avLst/>
            </a:prstGeom>
            <a:no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33" name="Trapezoid 132">
              <a:extLst>
                <a:ext uri="{FF2B5EF4-FFF2-40B4-BE49-F238E27FC236}">
                  <a16:creationId xmlns:a16="http://schemas.microsoft.com/office/drawing/2014/main" id="{B9F9B8FD-6618-4088-82BF-ADCDD9CD4B2F}"/>
                </a:ext>
              </a:extLst>
            </xdr:cNvPr>
            <xdr:cNvSpPr/>
          </xdr:nvSpPr>
          <xdr:spPr>
            <a:xfrm>
              <a:off x="5542668" y="2892798"/>
              <a:ext cx="353940" cy="285461"/>
            </a:xfrm>
            <a:prstGeom prst="trapezoid">
              <a:avLst>
                <a:gd name="adj" fmla="val 139559"/>
              </a:avLst>
            </a:prstGeom>
            <a:gradFill flip="none" rotWithShape="1">
              <a:gsLst>
                <a:gs pos="0">
                  <a:schemeClr val="accent5">
                    <a:lumMod val="75000"/>
                  </a:schemeClr>
                </a:gs>
                <a:gs pos="100000">
                  <a:srgbClr val="00B0F0"/>
                </a:gs>
                <a:gs pos="100000">
                  <a:schemeClr val="accent5">
                    <a:lumMod val="45000"/>
                    <a:lumOff val="55000"/>
                  </a:schemeClr>
                </a:gs>
                <a:gs pos="100000">
                  <a:schemeClr val="accent5">
                    <a:lumMod val="30000"/>
                    <a:lumOff val="7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34" name="Straight Connector 133">
              <a:extLst>
                <a:ext uri="{FF2B5EF4-FFF2-40B4-BE49-F238E27FC236}">
                  <a16:creationId xmlns:a16="http://schemas.microsoft.com/office/drawing/2014/main" id="{16F61316-A5E3-4277-B259-F8B070E46FE5}"/>
                </a:ext>
              </a:extLst>
            </xdr:cNvPr>
            <xdr:cNvCxnSpPr>
              <a:cxnSpLocks/>
            </xdr:cNvCxnSpPr>
          </xdr:nvCxnSpPr>
          <xdr:spPr>
            <a:xfrm>
              <a:off x="6714267" y="2362600"/>
              <a:ext cx="11435" cy="460804"/>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35" name="Trapezoid 134">
              <a:extLst>
                <a:ext uri="{FF2B5EF4-FFF2-40B4-BE49-F238E27FC236}">
                  <a16:creationId xmlns:a16="http://schemas.microsoft.com/office/drawing/2014/main" id="{4A183756-6FB6-4239-9EAD-2BB2D2EC9118}"/>
                </a:ext>
              </a:extLst>
            </xdr:cNvPr>
            <xdr:cNvSpPr/>
          </xdr:nvSpPr>
          <xdr:spPr>
            <a:xfrm rot="10800000">
              <a:off x="6706839" y="2771709"/>
              <a:ext cx="37725" cy="76897"/>
            </a:xfrm>
            <a:prstGeom prst="trapezoid">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36" name="Trapezoid 135">
              <a:extLst>
                <a:ext uri="{FF2B5EF4-FFF2-40B4-BE49-F238E27FC236}">
                  <a16:creationId xmlns:a16="http://schemas.microsoft.com/office/drawing/2014/main" id="{5BE98BD8-8E7C-41AF-9F15-BFCCAF3FE173}"/>
                </a:ext>
              </a:extLst>
            </xdr:cNvPr>
            <xdr:cNvSpPr/>
          </xdr:nvSpPr>
          <xdr:spPr>
            <a:xfrm>
              <a:off x="6706839" y="2806301"/>
              <a:ext cx="37725" cy="48825"/>
            </a:xfrm>
            <a:prstGeom prst="trapezoid">
              <a:avLst/>
            </a:prstGeom>
            <a:no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37" name="Trapezoid 136">
              <a:extLst>
                <a:ext uri="{FF2B5EF4-FFF2-40B4-BE49-F238E27FC236}">
                  <a16:creationId xmlns:a16="http://schemas.microsoft.com/office/drawing/2014/main" id="{5AECB2C0-23AA-4806-ADB4-F85E6482288D}"/>
                </a:ext>
              </a:extLst>
            </xdr:cNvPr>
            <xdr:cNvSpPr/>
          </xdr:nvSpPr>
          <xdr:spPr>
            <a:xfrm>
              <a:off x="6548731" y="2860222"/>
              <a:ext cx="353940" cy="278099"/>
            </a:xfrm>
            <a:prstGeom prst="trapezoid">
              <a:avLst>
                <a:gd name="adj" fmla="val 139559"/>
              </a:avLst>
            </a:prstGeom>
            <a:gradFill flip="none" rotWithShape="1">
              <a:gsLst>
                <a:gs pos="0">
                  <a:schemeClr val="accent5">
                    <a:lumMod val="75000"/>
                  </a:schemeClr>
                </a:gs>
                <a:gs pos="100000">
                  <a:srgbClr val="00B0F0"/>
                </a:gs>
                <a:gs pos="100000">
                  <a:schemeClr val="accent5">
                    <a:lumMod val="45000"/>
                    <a:lumOff val="55000"/>
                  </a:schemeClr>
                </a:gs>
                <a:gs pos="100000">
                  <a:schemeClr val="accent5">
                    <a:lumMod val="30000"/>
                    <a:lumOff val="7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38" name="Straight Connector 137">
              <a:extLst>
                <a:ext uri="{FF2B5EF4-FFF2-40B4-BE49-F238E27FC236}">
                  <a16:creationId xmlns:a16="http://schemas.microsoft.com/office/drawing/2014/main" id="{FA8D696B-769E-41CA-BE48-6FFD4E5D2AE4}"/>
                </a:ext>
              </a:extLst>
            </xdr:cNvPr>
            <xdr:cNvCxnSpPr>
              <a:cxnSpLocks/>
            </xdr:cNvCxnSpPr>
          </xdr:nvCxnSpPr>
          <xdr:spPr>
            <a:xfrm>
              <a:off x="7140576" y="2300333"/>
              <a:ext cx="18862" cy="523071"/>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39" name="Trapezoid 138">
              <a:extLst>
                <a:ext uri="{FF2B5EF4-FFF2-40B4-BE49-F238E27FC236}">
                  <a16:creationId xmlns:a16="http://schemas.microsoft.com/office/drawing/2014/main" id="{760D3881-F572-4342-B137-7035B9DBBD84}"/>
                </a:ext>
              </a:extLst>
            </xdr:cNvPr>
            <xdr:cNvSpPr/>
          </xdr:nvSpPr>
          <xdr:spPr>
            <a:xfrm rot="10800000">
              <a:off x="7140575" y="2771709"/>
              <a:ext cx="37725" cy="76897"/>
            </a:xfrm>
            <a:prstGeom prst="trapezoid">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40" name="Trapezoid 139">
              <a:extLst>
                <a:ext uri="{FF2B5EF4-FFF2-40B4-BE49-F238E27FC236}">
                  <a16:creationId xmlns:a16="http://schemas.microsoft.com/office/drawing/2014/main" id="{C698259D-6377-4153-B4F6-7E7E2938C953}"/>
                </a:ext>
              </a:extLst>
            </xdr:cNvPr>
            <xdr:cNvSpPr/>
          </xdr:nvSpPr>
          <xdr:spPr>
            <a:xfrm>
              <a:off x="7140575" y="2806301"/>
              <a:ext cx="37725" cy="48825"/>
            </a:xfrm>
            <a:prstGeom prst="trapezoid">
              <a:avLst/>
            </a:prstGeom>
            <a:no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41" name="Trapezoid 140">
              <a:extLst>
                <a:ext uri="{FF2B5EF4-FFF2-40B4-BE49-F238E27FC236}">
                  <a16:creationId xmlns:a16="http://schemas.microsoft.com/office/drawing/2014/main" id="{27FB289F-66A5-43CE-A652-52121523413D}"/>
                </a:ext>
              </a:extLst>
            </xdr:cNvPr>
            <xdr:cNvSpPr/>
          </xdr:nvSpPr>
          <xdr:spPr>
            <a:xfrm>
              <a:off x="6982467" y="2860222"/>
              <a:ext cx="353940" cy="278099"/>
            </a:xfrm>
            <a:prstGeom prst="trapezoid">
              <a:avLst>
                <a:gd name="adj" fmla="val 139559"/>
              </a:avLst>
            </a:prstGeom>
            <a:gradFill flip="none" rotWithShape="1">
              <a:gsLst>
                <a:gs pos="0">
                  <a:schemeClr val="accent5">
                    <a:lumMod val="75000"/>
                  </a:schemeClr>
                </a:gs>
                <a:gs pos="100000">
                  <a:srgbClr val="00B0F0"/>
                </a:gs>
                <a:gs pos="100000">
                  <a:schemeClr val="accent5">
                    <a:lumMod val="45000"/>
                    <a:lumOff val="55000"/>
                  </a:schemeClr>
                </a:gs>
                <a:gs pos="100000">
                  <a:schemeClr val="accent5">
                    <a:lumMod val="30000"/>
                    <a:lumOff val="7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42" name="Straight Connector 141">
              <a:extLst>
                <a:ext uri="{FF2B5EF4-FFF2-40B4-BE49-F238E27FC236}">
                  <a16:creationId xmlns:a16="http://schemas.microsoft.com/office/drawing/2014/main" id="{656DDE46-7C25-4683-8938-DE82420068D6}"/>
                </a:ext>
              </a:extLst>
            </xdr:cNvPr>
            <xdr:cNvCxnSpPr>
              <a:cxnSpLocks/>
            </xdr:cNvCxnSpPr>
          </xdr:nvCxnSpPr>
          <xdr:spPr>
            <a:xfrm>
              <a:off x="7578523" y="2329320"/>
              <a:ext cx="8899" cy="485748"/>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43" name="Trapezoid 142">
              <a:extLst>
                <a:ext uri="{FF2B5EF4-FFF2-40B4-BE49-F238E27FC236}">
                  <a16:creationId xmlns:a16="http://schemas.microsoft.com/office/drawing/2014/main" id="{6E58334E-EA94-4D23-9338-1F9CC65CBB8E}"/>
                </a:ext>
              </a:extLst>
            </xdr:cNvPr>
            <xdr:cNvSpPr/>
          </xdr:nvSpPr>
          <xdr:spPr>
            <a:xfrm rot="10800000">
              <a:off x="7568560" y="2762004"/>
              <a:ext cx="37725" cy="78933"/>
            </a:xfrm>
            <a:prstGeom prst="trapezoid">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44" name="Trapezoid 143">
              <a:extLst>
                <a:ext uri="{FF2B5EF4-FFF2-40B4-BE49-F238E27FC236}">
                  <a16:creationId xmlns:a16="http://schemas.microsoft.com/office/drawing/2014/main" id="{6D06917A-48D4-4308-8646-94F79ED1C111}"/>
                </a:ext>
              </a:extLst>
            </xdr:cNvPr>
            <xdr:cNvSpPr/>
          </xdr:nvSpPr>
          <xdr:spPr>
            <a:xfrm>
              <a:off x="7568560" y="2797511"/>
              <a:ext cx="37725" cy="50117"/>
            </a:xfrm>
            <a:prstGeom prst="trapezoid">
              <a:avLst/>
            </a:prstGeom>
            <a:no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145" name="Trapezoid 144">
              <a:extLst>
                <a:ext uri="{FF2B5EF4-FFF2-40B4-BE49-F238E27FC236}">
                  <a16:creationId xmlns:a16="http://schemas.microsoft.com/office/drawing/2014/main" id="{A955A9FD-AEE3-4E4E-A385-6A241E2FDF07}"/>
                </a:ext>
              </a:extLst>
            </xdr:cNvPr>
            <xdr:cNvSpPr/>
          </xdr:nvSpPr>
          <xdr:spPr>
            <a:xfrm>
              <a:off x="7410452" y="2852860"/>
              <a:ext cx="353940" cy="285461"/>
            </a:xfrm>
            <a:prstGeom prst="trapezoid">
              <a:avLst>
                <a:gd name="adj" fmla="val 139559"/>
              </a:avLst>
            </a:prstGeom>
            <a:gradFill flip="none" rotWithShape="1">
              <a:gsLst>
                <a:gs pos="0">
                  <a:schemeClr val="accent5">
                    <a:lumMod val="75000"/>
                  </a:schemeClr>
                </a:gs>
                <a:gs pos="100000">
                  <a:srgbClr val="00B0F0"/>
                </a:gs>
                <a:gs pos="100000">
                  <a:schemeClr val="accent5">
                    <a:lumMod val="45000"/>
                    <a:lumOff val="55000"/>
                  </a:schemeClr>
                </a:gs>
                <a:gs pos="100000">
                  <a:schemeClr val="accent5">
                    <a:lumMod val="30000"/>
                    <a:lumOff val="7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46" name="Straight Connector 145">
              <a:extLst>
                <a:ext uri="{FF2B5EF4-FFF2-40B4-BE49-F238E27FC236}">
                  <a16:creationId xmlns:a16="http://schemas.microsoft.com/office/drawing/2014/main" id="{788FF15F-3E83-436B-9936-7759F275A987}"/>
                </a:ext>
              </a:extLst>
            </xdr:cNvPr>
            <xdr:cNvCxnSpPr>
              <a:cxnSpLocks/>
              <a:stCxn id="150" idx="2"/>
            </xdr:cNvCxnSpPr>
          </xdr:nvCxnSpPr>
          <xdr:spPr>
            <a:xfrm flipH="1" flipV="1">
              <a:off x="1155807" y="4195323"/>
              <a:ext cx="889308" cy="2108"/>
            </a:xfrm>
            <a:prstGeom prst="line">
              <a:avLst/>
            </a:prstGeom>
            <a:ln w="15875">
              <a:solidFill>
                <a:schemeClr val="tx1">
                  <a:lumMod val="85000"/>
                  <a:lumOff val="15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a:extLst>
                <a:ext uri="{FF2B5EF4-FFF2-40B4-BE49-F238E27FC236}">
                  <a16:creationId xmlns:a16="http://schemas.microsoft.com/office/drawing/2014/main" id="{B117CD5F-607A-425D-AFF3-541812D8FEFB}"/>
                </a:ext>
              </a:extLst>
            </xdr:cNvPr>
            <xdr:cNvCxnSpPr>
              <a:cxnSpLocks/>
            </xdr:cNvCxnSpPr>
          </xdr:nvCxnSpPr>
          <xdr:spPr>
            <a:xfrm flipH="1" flipV="1">
              <a:off x="1167243" y="2809480"/>
              <a:ext cx="3638805" cy="19057"/>
            </a:xfrm>
            <a:prstGeom prst="line">
              <a:avLst/>
            </a:prstGeom>
            <a:ln w="15875">
              <a:solidFill>
                <a:schemeClr val="tx1">
                  <a:lumMod val="85000"/>
                  <a:lumOff val="15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48" name="Straight Arrow Connector 147">
              <a:extLst>
                <a:ext uri="{FF2B5EF4-FFF2-40B4-BE49-F238E27FC236}">
                  <a16:creationId xmlns:a16="http://schemas.microsoft.com/office/drawing/2014/main" id="{C1B57469-088B-4D61-94E0-21507ADD3BC1}"/>
                </a:ext>
              </a:extLst>
            </xdr:cNvPr>
            <xdr:cNvCxnSpPr>
              <a:cxnSpLocks/>
            </xdr:cNvCxnSpPr>
          </xdr:nvCxnSpPr>
          <xdr:spPr>
            <a:xfrm>
              <a:off x="1260530" y="3259305"/>
              <a:ext cx="7374" cy="936017"/>
            </a:xfrm>
            <a:prstGeom prst="straightConnector1">
              <a:avLst/>
            </a:prstGeom>
            <a:ln w="19050">
              <a:solidFill>
                <a:schemeClr val="tx1">
                  <a:lumMod val="95000"/>
                  <a:lumOff val="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9" name="Straight Connector 148">
              <a:extLst>
                <a:ext uri="{FF2B5EF4-FFF2-40B4-BE49-F238E27FC236}">
                  <a16:creationId xmlns:a16="http://schemas.microsoft.com/office/drawing/2014/main" id="{740DA171-216E-45AC-B5FE-DBA05F7F8D7D}"/>
                </a:ext>
              </a:extLst>
            </xdr:cNvPr>
            <xdr:cNvCxnSpPr>
              <a:cxnSpLocks/>
            </xdr:cNvCxnSpPr>
          </xdr:nvCxnSpPr>
          <xdr:spPr>
            <a:xfrm flipH="1" flipV="1">
              <a:off x="1155807" y="3249351"/>
              <a:ext cx="3149416" cy="10615"/>
            </a:xfrm>
            <a:prstGeom prst="line">
              <a:avLst/>
            </a:prstGeom>
            <a:ln w="15875">
              <a:solidFill>
                <a:schemeClr val="tx1">
                  <a:lumMod val="85000"/>
                  <a:lumOff val="15000"/>
                </a:schemeClr>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50" name="Oval 149">
              <a:extLst>
                <a:ext uri="{FF2B5EF4-FFF2-40B4-BE49-F238E27FC236}">
                  <a16:creationId xmlns:a16="http://schemas.microsoft.com/office/drawing/2014/main" id="{7B658620-3A98-4083-BBE6-46A42A204152}"/>
                </a:ext>
              </a:extLst>
            </xdr:cNvPr>
            <xdr:cNvSpPr/>
          </xdr:nvSpPr>
          <xdr:spPr>
            <a:xfrm>
              <a:off x="2045115" y="4043745"/>
              <a:ext cx="337738" cy="307372"/>
            </a:xfrm>
            <a:prstGeom prst="ellipse">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51" name="Straight Arrow Connector 150">
              <a:extLst>
                <a:ext uri="{FF2B5EF4-FFF2-40B4-BE49-F238E27FC236}">
                  <a16:creationId xmlns:a16="http://schemas.microsoft.com/office/drawing/2014/main" id="{DA88D5E9-98C1-42DE-BA87-0196960AC1A9}"/>
                </a:ext>
              </a:extLst>
            </xdr:cNvPr>
            <xdr:cNvCxnSpPr>
              <a:cxnSpLocks/>
            </xdr:cNvCxnSpPr>
          </xdr:nvCxnSpPr>
          <xdr:spPr>
            <a:xfrm>
              <a:off x="1273813" y="4199542"/>
              <a:ext cx="0" cy="371656"/>
            </a:xfrm>
            <a:prstGeom prst="straightConnector1">
              <a:avLst/>
            </a:prstGeom>
            <a:ln w="19050">
              <a:solidFill>
                <a:schemeClr val="tx1">
                  <a:lumMod val="95000"/>
                  <a:lumOff val="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2" name="Straight Arrow Connector 151">
              <a:extLst>
                <a:ext uri="{FF2B5EF4-FFF2-40B4-BE49-F238E27FC236}">
                  <a16:creationId xmlns:a16="http://schemas.microsoft.com/office/drawing/2014/main" id="{CA8D66B0-6B6A-4B6C-8C85-ED123C7915DB}"/>
                </a:ext>
              </a:extLst>
            </xdr:cNvPr>
            <xdr:cNvCxnSpPr>
              <a:cxnSpLocks/>
            </xdr:cNvCxnSpPr>
          </xdr:nvCxnSpPr>
          <xdr:spPr>
            <a:xfrm>
              <a:off x="1258742" y="2812083"/>
              <a:ext cx="0" cy="429215"/>
            </a:xfrm>
            <a:prstGeom prst="straightConnector1">
              <a:avLst/>
            </a:prstGeom>
            <a:ln w="19050">
              <a:solidFill>
                <a:schemeClr val="tx1">
                  <a:lumMod val="95000"/>
                  <a:lumOff val="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3" name="Straight Connector 152">
              <a:extLst>
                <a:ext uri="{FF2B5EF4-FFF2-40B4-BE49-F238E27FC236}">
                  <a16:creationId xmlns:a16="http://schemas.microsoft.com/office/drawing/2014/main" id="{10FEB4F4-1063-4B50-AD3A-7169B118F9E1}"/>
                </a:ext>
              </a:extLst>
            </xdr:cNvPr>
            <xdr:cNvCxnSpPr>
              <a:cxnSpLocks/>
            </xdr:cNvCxnSpPr>
          </xdr:nvCxnSpPr>
          <xdr:spPr>
            <a:xfrm>
              <a:off x="4331649" y="2612899"/>
              <a:ext cx="183794" cy="829292"/>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54" name="Diagonal Stripe 153">
              <a:extLst>
                <a:ext uri="{FF2B5EF4-FFF2-40B4-BE49-F238E27FC236}">
                  <a16:creationId xmlns:a16="http://schemas.microsoft.com/office/drawing/2014/main" id="{A08C04BD-4FE2-4F60-A829-C50A57CCA840}"/>
                </a:ext>
              </a:extLst>
            </xdr:cNvPr>
            <xdr:cNvSpPr/>
          </xdr:nvSpPr>
          <xdr:spPr>
            <a:xfrm>
              <a:off x="8550923" y="2444480"/>
              <a:ext cx="78939" cy="61837"/>
            </a:xfrm>
            <a:prstGeom prst="diagStripe">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solidFill>
                  <a:schemeClr val="tx1"/>
                </a:solidFill>
              </a:endParaRPr>
            </a:p>
          </xdr:txBody>
        </xdr:sp>
        <xdr:sp macro="" textlink="">
          <xdr:nvSpPr>
            <xdr:cNvPr id="155" name="Oval 154">
              <a:extLst>
                <a:ext uri="{FF2B5EF4-FFF2-40B4-BE49-F238E27FC236}">
                  <a16:creationId xmlns:a16="http://schemas.microsoft.com/office/drawing/2014/main" id="{E7D780DE-0419-444F-B816-AC07347B158E}"/>
                </a:ext>
              </a:extLst>
            </xdr:cNvPr>
            <xdr:cNvSpPr/>
          </xdr:nvSpPr>
          <xdr:spPr>
            <a:xfrm>
              <a:off x="2297200" y="3929395"/>
              <a:ext cx="171305" cy="153748"/>
            </a:xfrm>
            <a:prstGeom prst="ellipse">
              <a:avLst/>
            </a:prstGeom>
            <a:solidFill>
              <a:schemeClr val="accent4">
                <a:lumMod val="40000"/>
                <a:lumOff val="60000"/>
              </a:schemeClr>
            </a:solidFill>
            <a:ln w="9525">
              <a:solidFill>
                <a:schemeClr val="bg1">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56" name="Straight Arrow Connector 155">
              <a:extLst>
                <a:ext uri="{FF2B5EF4-FFF2-40B4-BE49-F238E27FC236}">
                  <a16:creationId xmlns:a16="http://schemas.microsoft.com/office/drawing/2014/main" id="{2DA0FB91-8C3F-4944-9387-ABD84D8613B0}"/>
                </a:ext>
              </a:extLst>
            </xdr:cNvPr>
            <xdr:cNvCxnSpPr>
              <a:cxnSpLocks/>
              <a:endCxn id="155" idx="5"/>
            </xdr:cNvCxnSpPr>
          </xdr:nvCxnSpPr>
          <xdr:spPr>
            <a:xfrm>
              <a:off x="2382321" y="4009688"/>
              <a:ext cx="61097" cy="50939"/>
            </a:xfrm>
            <a:prstGeom prst="straightConnector1">
              <a:avLst/>
            </a:prstGeom>
            <a:ln w="12700">
              <a:solidFill>
                <a:schemeClr val="tx1">
                  <a:lumMod val="95000"/>
                  <a:lumOff val="5000"/>
                </a:schemeClr>
              </a:solidFill>
              <a:bevel/>
              <a:headEnd type="none" w="sm" len="lg"/>
              <a:tailEnd type="triangle" w="sm" len="sm"/>
            </a:ln>
          </xdr:spPr>
          <xdr:style>
            <a:lnRef idx="1">
              <a:schemeClr val="accent1"/>
            </a:lnRef>
            <a:fillRef idx="0">
              <a:schemeClr val="accent1"/>
            </a:fillRef>
            <a:effectRef idx="0">
              <a:schemeClr val="accent1"/>
            </a:effectRef>
            <a:fontRef idx="minor">
              <a:schemeClr val="tx1"/>
            </a:fontRef>
          </xdr:style>
        </xdr:cxnSp>
        <xdr:cxnSp macro="">
          <xdr:nvCxnSpPr>
            <xdr:cNvPr id="157" name="Straight Connector 156">
              <a:extLst>
                <a:ext uri="{FF2B5EF4-FFF2-40B4-BE49-F238E27FC236}">
                  <a16:creationId xmlns:a16="http://schemas.microsoft.com/office/drawing/2014/main" id="{7BF22F26-A01E-4E9F-B493-26028F8D2F8D}"/>
                </a:ext>
              </a:extLst>
            </xdr:cNvPr>
            <xdr:cNvCxnSpPr/>
          </xdr:nvCxnSpPr>
          <xdr:spPr>
            <a:xfrm>
              <a:off x="2388671" y="4087367"/>
              <a:ext cx="0" cy="42308"/>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58" name="Oval 157">
              <a:extLst>
                <a:ext uri="{FF2B5EF4-FFF2-40B4-BE49-F238E27FC236}">
                  <a16:creationId xmlns:a16="http://schemas.microsoft.com/office/drawing/2014/main" id="{18D6C8BA-E3C4-4B1C-BD57-6279829CD11B}"/>
                </a:ext>
              </a:extLst>
            </xdr:cNvPr>
            <xdr:cNvSpPr/>
          </xdr:nvSpPr>
          <xdr:spPr>
            <a:xfrm rot="5400000">
              <a:off x="4042452" y="3193723"/>
              <a:ext cx="147087" cy="183179"/>
            </a:xfrm>
            <a:prstGeom prst="ellipse">
              <a:avLst/>
            </a:prstGeom>
            <a:solidFill>
              <a:schemeClr val="accent4">
                <a:lumMod val="40000"/>
                <a:lumOff val="60000"/>
              </a:schemeClr>
            </a:solidFill>
            <a:ln w="9525">
              <a:solidFill>
                <a:schemeClr val="bg1">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59" name="Straight Arrow Connector 158">
              <a:extLst>
                <a:ext uri="{FF2B5EF4-FFF2-40B4-BE49-F238E27FC236}">
                  <a16:creationId xmlns:a16="http://schemas.microsoft.com/office/drawing/2014/main" id="{F6814C40-39F2-44D4-9494-B0F88066BADF}"/>
                </a:ext>
              </a:extLst>
            </xdr:cNvPr>
            <xdr:cNvCxnSpPr>
              <a:cxnSpLocks/>
            </xdr:cNvCxnSpPr>
          </xdr:nvCxnSpPr>
          <xdr:spPr>
            <a:xfrm flipV="1">
              <a:off x="4116911" y="3221053"/>
              <a:ext cx="50939" cy="61098"/>
            </a:xfrm>
            <a:prstGeom prst="straightConnector1">
              <a:avLst/>
            </a:prstGeom>
            <a:ln w="12700">
              <a:solidFill>
                <a:schemeClr val="tx1">
                  <a:lumMod val="95000"/>
                  <a:lumOff val="5000"/>
                </a:schemeClr>
              </a:solidFill>
              <a:bevel/>
              <a:headEnd type="none" w="sm" len="lg"/>
              <a:tailEnd type="triangle" w="sm" len="sm"/>
            </a:ln>
          </xdr:spPr>
          <xdr:style>
            <a:lnRef idx="1">
              <a:schemeClr val="accent1"/>
            </a:lnRef>
            <a:fillRef idx="0">
              <a:schemeClr val="accent1"/>
            </a:fillRef>
            <a:effectRef idx="0">
              <a:schemeClr val="accent1"/>
            </a:effectRef>
            <a:fontRef idx="minor">
              <a:schemeClr val="tx1"/>
            </a:fontRef>
          </xdr:style>
        </xdr:cxnSp>
        <xdr:cxnSp macro="">
          <xdr:nvCxnSpPr>
            <xdr:cNvPr id="160" name="Straight Connector 159">
              <a:extLst>
                <a:ext uri="{FF2B5EF4-FFF2-40B4-BE49-F238E27FC236}">
                  <a16:creationId xmlns:a16="http://schemas.microsoft.com/office/drawing/2014/main" id="{17B0CA7B-C882-4E09-84B9-E8C6F549A916}"/>
                </a:ext>
              </a:extLst>
            </xdr:cNvPr>
            <xdr:cNvCxnSpPr>
              <a:stCxn id="158" idx="0"/>
            </xdr:cNvCxnSpPr>
          </xdr:nvCxnSpPr>
          <xdr:spPr>
            <a:xfrm flipV="1">
              <a:off x="4207585" y="3273203"/>
              <a:ext cx="122116" cy="12110"/>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61" name="Oval 160">
              <a:extLst>
                <a:ext uri="{FF2B5EF4-FFF2-40B4-BE49-F238E27FC236}">
                  <a16:creationId xmlns:a16="http://schemas.microsoft.com/office/drawing/2014/main" id="{B5B78DF1-A5A4-45DF-91DD-7BADC11AF115}"/>
                </a:ext>
              </a:extLst>
            </xdr:cNvPr>
            <xdr:cNvSpPr/>
          </xdr:nvSpPr>
          <xdr:spPr>
            <a:xfrm rot="5400000">
              <a:off x="8442106" y="2654333"/>
              <a:ext cx="156431" cy="180055"/>
            </a:xfrm>
            <a:prstGeom prst="ellipse">
              <a:avLst/>
            </a:prstGeom>
            <a:solidFill>
              <a:schemeClr val="accent4">
                <a:lumMod val="40000"/>
                <a:lumOff val="60000"/>
              </a:schemeClr>
            </a:solidFill>
            <a:ln w="9525">
              <a:solidFill>
                <a:schemeClr val="bg1">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62" name="Straight Arrow Connector 161">
              <a:extLst>
                <a:ext uri="{FF2B5EF4-FFF2-40B4-BE49-F238E27FC236}">
                  <a16:creationId xmlns:a16="http://schemas.microsoft.com/office/drawing/2014/main" id="{35D3F277-53AA-4815-8EE2-7EE63E061B6C}"/>
                </a:ext>
              </a:extLst>
            </xdr:cNvPr>
            <xdr:cNvCxnSpPr>
              <a:cxnSpLocks/>
            </xdr:cNvCxnSpPr>
          </xdr:nvCxnSpPr>
          <xdr:spPr>
            <a:xfrm flipH="1" flipV="1">
              <a:off x="8473311" y="2687711"/>
              <a:ext cx="50939" cy="61098"/>
            </a:xfrm>
            <a:prstGeom prst="straightConnector1">
              <a:avLst/>
            </a:prstGeom>
            <a:ln w="12700">
              <a:solidFill>
                <a:schemeClr val="tx1">
                  <a:lumMod val="95000"/>
                  <a:lumOff val="5000"/>
                </a:schemeClr>
              </a:solidFill>
              <a:bevel/>
              <a:headEnd type="none" w="sm" len="lg"/>
              <a:tailEnd type="triangle" w="sm" len="sm"/>
            </a:ln>
          </xdr:spPr>
          <xdr:style>
            <a:lnRef idx="1">
              <a:schemeClr val="accent1"/>
            </a:lnRef>
            <a:fillRef idx="0">
              <a:schemeClr val="accent1"/>
            </a:fillRef>
            <a:effectRef idx="0">
              <a:schemeClr val="accent1"/>
            </a:effectRef>
            <a:fontRef idx="minor">
              <a:schemeClr val="tx1"/>
            </a:fontRef>
          </xdr:style>
        </xdr:cxnSp>
        <xdr:cxnSp macro="">
          <xdr:nvCxnSpPr>
            <xdr:cNvPr id="163" name="Straight Connector 162">
              <a:extLst>
                <a:ext uri="{FF2B5EF4-FFF2-40B4-BE49-F238E27FC236}">
                  <a16:creationId xmlns:a16="http://schemas.microsoft.com/office/drawing/2014/main" id="{25CD6F54-5660-4422-A4DF-DA08E4CAFE9A}"/>
                </a:ext>
              </a:extLst>
            </xdr:cNvPr>
            <xdr:cNvCxnSpPr/>
          </xdr:nvCxnSpPr>
          <xdr:spPr>
            <a:xfrm flipH="1">
              <a:off x="8383763" y="2757616"/>
              <a:ext cx="42308" cy="0"/>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graphicFrame macro="">
        <xdr:nvGraphicFramePr>
          <xdr:cNvPr id="9" name="Chart 8">
            <a:extLst>
              <a:ext uri="{FF2B5EF4-FFF2-40B4-BE49-F238E27FC236}">
                <a16:creationId xmlns:a16="http://schemas.microsoft.com/office/drawing/2014/main" id="{3CA6565F-B65F-4245-9B82-39AB3061D654}"/>
              </a:ext>
            </a:extLst>
          </xdr:cNvPr>
          <xdr:cNvGraphicFramePr>
            <a:graphicFrameLocks/>
          </xdr:cNvGraphicFramePr>
        </xdr:nvGraphicFramePr>
        <xdr:xfrm>
          <a:off x="11036147" y="2362530"/>
          <a:ext cx="1936652" cy="1945033"/>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15</xdr:col>
      <xdr:colOff>629477</xdr:colOff>
      <xdr:row>7</xdr:row>
      <xdr:rowOff>1175</xdr:rowOff>
    </xdr:from>
    <xdr:to>
      <xdr:col>16</xdr:col>
      <xdr:colOff>257175</xdr:colOff>
      <xdr:row>12</xdr:row>
      <xdr:rowOff>47624</xdr:rowOff>
    </xdr:to>
    <xdr:sp macro="" textlink="">
      <xdr:nvSpPr>
        <xdr:cNvPr id="6" name="Freeform: Shape 5">
          <a:extLst>
            <a:ext uri="{FF2B5EF4-FFF2-40B4-BE49-F238E27FC236}">
              <a16:creationId xmlns:a16="http://schemas.microsoft.com/office/drawing/2014/main" id="{B81F6242-2953-4C82-A0DE-3662B78AD6E9}"/>
            </a:ext>
          </a:extLst>
        </xdr:cNvPr>
        <xdr:cNvSpPr/>
      </xdr:nvSpPr>
      <xdr:spPr>
        <a:xfrm flipH="1" flipV="1">
          <a:off x="8696738" y="895697"/>
          <a:ext cx="373133" cy="957536"/>
        </a:xfrm>
        <a:custGeom>
          <a:avLst/>
          <a:gdLst>
            <a:gd name="connsiteX0" fmla="*/ 57150 w 195960"/>
            <a:gd name="connsiteY0" fmla="*/ 657263 h 657263"/>
            <a:gd name="connsiteX1" fmla="*/ 171450 w 195960"/>
            <a:gd name="connsiteY1" fmla="*/ 381038 h 657263"/>
            <a:gd name="connsiteX2" fmla="*/ 180975 w 195960"/>
            <a:gd name="connsiteY2" fmla="*/ 47663 h 657263"/>
            <a:gd name="connsiteX3" fmla="*/ 0 w 195960"/>
            <a:gd name="connsiteY3" fmla="*/ 9563 h 657263"/>
            <a:gd name="connsiteX0" fmla="*/ 0 w 198720"/>
            <a:gd name="connsiteY0" fmla="*/ 714413 h 714413"/>
            <a:gd name="connsiteX1" fmla="*/ 171450 w 198720"/>
            <a:gd name="connsiteY1" fmla="*/ 381038 h 714413"/>
            <a:gd name="connsiteX2" fmla="*/ 180975 w 198720"/>
            <a:gd name="connsiteY2" fmla="*/ 47663 h 714413"/>
            <a:gd name="connsiteX3" fmla="*/ 0 w 198720"/>
            <a:gd name="connsiteY3" fmla="*/ 9563 h 714413"/>
            <a:gd name="connsiteX0" fmla="*/ 71933 w 195324"/>
            <a:gd name="connsiteY0" fmla="*/ 683352 h 683352"/>
            <a:gd name="connsiteX1" fmla="*/ 171450 w 195324"/>
            <a:gd name="connsiteY1" fmla="*/ 381038 h 683352"/>
            <a:gd name="connsiteX2" fmla="*/ 180975 w 195324"/>
            <a:gd name="connsiteY2" fmla="*/ 47663 h 683352"/>
            <a:gd name="connsiteX3" fmla="*/ 0 w 195324"/>
            <a:gd name="connsiteY3" fmla="*/ 9563 h 683352"/>
            <a:gd name="connsiteX0" fmla="*/ 71933 w 172089"/>
            <a:gd name="connsiteY0" fmla="*/ 674488 h 674488"/>
            <a:gd name="connsiteX1" fmla="*/ 171450 w 172089"/>
            <a:gd name="connsiteY1" fmla="*/ 372174 h 674488"/>
            <a:gd name="connsiteX2" fmla="*/ 109042 w 172089"/>
            <a:gd name="connsiteY2" fmla="*/ 194107 h 674488"/>
            <a:gd name="connsiteX3" fmla="*/ 0 w 172089"/>
            <a:gd name="connsiteY3" fmla="*/ 699 h 674488"/>
            <a:gd name="connsiteX0" fmla="*/ 111896 w 212157"/>
            <a:gd name="connsiteY0" fmla="*/ 541755 h 541755"/>
            <a:gd name="connsiteX1" fmla="*/ 211413 w 212157"/>
            <a:gd name="connsiteY1" fmla="*/ 239441 h 541755"/>
            <a:gd name="connsiteX2" fmla="*/ 149005 w 212157"/>
            <a:gd name="connsiteY2" fmla="*/ 61374 h 541755"/>
            <a:gd name="connsiteX3" fmla="*/ 0 w 212157"/>
            <a:gd name="connsiteY3" fmla="*/ 2565 h 541755"/>
            <a:gd name="connsiteX0" fmla="*/ 71933 w 172089"/>
            <a:gd name="connsiteY0" fmla="*/ 612721 h 612721"/>
            <a:gd name="connsiteX1" fmla="*/ 171450 w 172089"/>
            <a:gd name="connsiteY1" fmla="*/ 310407 h 612721"/>
            <a:gd name="connsiteX2" fmla="*/ 109042 w 172089"/>
            <a:gd name="connsiteY2" fmla="*/ 132340 h 612721"/>
            <a:gd name="connsiteX3" fmla="*/ 0 w 172089"/>
            <a:gd name="connsiteY3" fmla="*/ 1055 h 612721"/>
            <a:gd name="connsiteX0" fmla="*/ 71933 w 172089"/>
            <a:gd name="connsiteY0" fmla="*/ 611666 h 611666"/>
            <a:gd name="connsiteX1" fmla="*/ 171450 w 172089"/>
            <a:gd name="connsiteY1" fmla="*/ 309352 h 611666"/>
            <a:gd name="connsiteX2" fmla="*/ 109042 w 172089"/>
            <a:gd name="connsiteY2" fmla="*/ 131285 h 611666"/>
            <a:gd name="connsiteX3" fmla="*/ 0 w 172089"/>
            <a:gd name="connsiteY3" fmla="*/ 0 h 611666"/>
            <a:gd name="connsiteX0" fmla="*/ 71933 w 171616"/>
            <a:gd name="connsiteY0" fmla="*/ 611666 h 611666"/>
            <a:gd name="connsiteX1" fmla="*/ 171450 w 171616"/>
            <a:gd name="connsiteY1" fmla="*/ 309352 h 611666"/>
            <a:gd name="connsiteX2" fmla="*/ 93057 w 171616"/>
            <a:gd name="connsiteY2" fmla="*/ 172701 h 611666"/>
            <a:gd name="connsiteX3" fmla="*/ 0 w 171616"/>
            <a:gd name="connsiteY3" fmla="*/ 0 h 611666"/>
            <a:gd name="connsiteX0" fmla="*/ 71933 w 172904"/>
            <a:gd name="connsiteY0" fmla="*/ 611666 h 611666"/>
            <a:gd name="connsiteX1" fmla="*/ 171450 w 172904"/>
            <a:gd name="connsiteY1" fmla="*/ 309352 h 611666"/>
            <a:gd name="connsiteX2" fmla="*/ 0 w 172904"/>
            <a:gd name="connsiteY2" fmla="*/ 0 h 611666"/>
            <a:gd name="connsiteX0" fmla="*/ 279741 w 291225"/>
            <a:gd name="connsiteY0" fmla="*/ 383882 h 383882"/>
            <a:gd name="connsiteX1" fmla="*/ 171450 w 291225"/>
            <a:gd name="connsiteY1" fmla="*/ 309352 h 383882"/>
            <a:gd name="connsiteX2" fmla="*/ 0 w 291225"/>
            <a:gd name="connsiteY2" fmla="*/ 0 h 383882"/>
            <a:gd name="connsiteX0" fmla="*/ 279741 w 291882"/>
            <a:gd name="connsiteY0" fmla="*/ 383882 h 586498"/>
            <a:gd name="connsiteX1" fmla="*/ 179442 w 291882"/>
            <a:gd name="connsiteY1" fmla="*/ 578551 h 586498"/>
            <a:gd name="connsiteX2" fmla="*/ 0 w 291882"/>
            <a:gd name="connsiteY2" fmla="*/ 0 h 586498"/>
            <a:gd name="connsiteX0" fmla="*/ 287734 w 299984"/>
            <a:gd name="connsiteY0" fmla="*/ 17180 h 212422"/>
            <a:gd name="connsiteX1" fmla="*/ 187435 w 299984"/>
            <a:gd name="connsiteY1" fmla="*/ 211849 h 212422"/>
            <a:gd name="connsiteX2" fmla="*/ 0 w 299984"/>
            <a:gd name="connsiteY2" fmla="*/ 68159 h 212422"/>
            <a:gd name="connsiteX0" fmla="*/ 287734 w 299984"/>
            <a:gd name="connsiteY0" fmla="*/ 19608 h 173868"/>
            <a:gd name="connsiteX1" fmla="*/ 187435 w 299984"/>
            <a:gd name="connsiteY1" fmla="*/ 172862 h 173868"/>
            <a:gd name="connsiteX2" fmla="*/ 0 w 299984"/>
            <a:gd name="connsiteY2" fmla="*/ 70587 h 173868"/>
            <a:gd name="connsiteX0" fmla="*/ 167844 w 206214"/>
            <a:gd name="connsiteY0" fmla="*/ 19608 h 173867"/>
            <a:gd name="connsiteX1" fmla="*/ 187435 w 206214"/>
            <a:gd name="connsiteY1" fmla="*/ 172862 h 173867"/>
            <a:gd name="connsiteX2" fmla="*/ 0 w 206214"/>
            <a:gd name="connsiteY2" fmla="*/ 70587 h 173867"/>
            <a:gd name="connsiteX0" fmla="*/ 209206 w 215644"/>
            <a:gd name="connsiteY0" fmla="*/ 364626 h 421656"/>
            <a:gd name="connsiteX1" fmla="*/ 5004 w 215644"/>
            <a:gd name="connsiteY1" fmla="*/ 185 h 421656"/>
            <a:gd name="connsiteX2" fmla="*/ 41362 w 215644"/>
            <a:gd name="connsiteY2" fmla="*/ 415605 h 421656"/>
            <a:gd name="connsiteX0" fmla="*/ 217586 w 223860"/>
            <a:gd name="connsiteY0" fmla="*/ 74324 h 463384"/>
            <a:gd name="connsiteX1" fmla="*/ 5391 w 223860"/>
            <a:gd name="connsiteY1" fmla="*/ 41207 h 463384"/>
            <a:gd name="connsiteX2" fmla="*/ 41749 w 223860"/>
            <a:gd name="connsiteY2" fmla="*/ 456627 h 463384"/>
            <a:gd name="connsiteX0" fmla="*/ 319705 w 326583"/>
            <a:gd name="connsiteY0" fmla="*/ 63016 h 289307"/>
            <a:gd name="connsiteX1" fmla="*/ 107510 w 326583"/>
            <a:gd name="connsiteY1" fmla="*/ 29899 h 289307"/>
            <a:gd name="connsiteX2" fmla="*/ 0 w 326583"/>
            <a:gd name="connsiteY2" fmla="*/ 279657 h 289307"/>
            <a:gd name="connsiteX0" fmla="*/ 347905 w 352497"/>
            <a:gd name="connsiteY0" fmla="*/ 82994 h 308442"/>
            <a:gd name="connsiteX1" fmla="*/ 15820 w 352497"/>
            <a:gd name="connsiteY1" fmla="*/ 18815 h 308442"/>
            <a:gd name="connsiteX2" fmla="*/ 28200 w 352497"/>
            <a:gd name="connsiteY2" fmla="*/ 299635 h 308442"/>
            <a:gd name="connsiteX0" fmla="*/ 319705 w 325777"/>
            <a:gd name="connsiteY0" fmla="*/ 75689 h 301402"/>
            <a:gd name="connsiteX1" fmla="*/ 75539 w 325777"/>
            <a:gd name="connsiteY1" fmla="*/ 21864 h 301402"/>
            <a:gd name="connsiteX2" fmla="*/ 0 w 325777"/>
            <a:gd name="connsiteY2" fmla="*/ 292330 h 301402"/>
            <a:gd name="connsiteX0" fmla="*/ 258958 w 264810"/>
            <a:gd name="connsiteY0" fmla="*/ 77201 h 323186"/>
            <a:gd name="connsiteX1" fmla="*/ 14792 w 264810"/>
            <a:gd name="connsiteY1" fmla="*/ 23376 h 323186"/>
            <a:gd name="connsiteX2" fmla="*/ 3194 w 264810"/>
            <a:gd name="connsiteY2" fmla="*/ 314549 h 323186"/>
            <a:gd name="connsiteX0" fmla="*/ 247422 w 252967"/>
            <a:gd name="connsiteY0" fmla="*/ 78716 h 345013"/>
            <a:gd name="connsiteX1" fmla="*/ 3256 w 252967"/>
            <a:gd name="connsiteY1" fmla="*/ 24891 h 345013"/>
            <a:gd name="connsiteX2" fmla="*/ 87570 w 252967"/>
            <a:gd name="connsiteY2" fmla="*/ 336771 h 345013"/>
            <a:gd name="connsiteX0" fmla="*/ 159852 w 170029"/>
            <a:gd name="connsiteY0" fmla="*/ 43827 h 312065"/>
            <a:gd name="connsiteX1" fmla="*/ 51561 w 170029"/>
            <a:gd name="connsiteY1" fmla="*/ 62479 h 312065"/>
            <a:gd name="connsiteX2" fmla="*/ 0 w 170029"/>
            <a:gd name="connsiteY2" fmla="*/ 301882 h 312065"/>
            <a:gd name="connsiteX0" fmla="*/ 159852 w 170029"/>
            <a:gd name="connsiteY0" fmla="*/ 43827 h 301882"/>
            <a:gd name="connsiteX1" fmla="*/ 51561 w 170029"/>
            <a:gd name="connsiteY1" fmla="*/ 62479 h 301882"/>
            <a:gd name="connsiteX2" fmla="*/ 0 w 170029"/>
            <a:gd name="connsiteY2" fmla="*/ 301882 h 301882"/>
            <a:gd name="connsiteX0" fmla="*/ 207808 w 218474"/>
            <a:gd name="connsiteY0" fmla="*/ 42957 h 280305"/>
            <a:gd name="connsiteX1" fmla="*/ 99517 w 218474"/>
            <a:gd name="connsiteY1" fmla="*/ 61609 h 280305"/>
            <a:gd name="connsiteX2" fmla="*/ 0 w 218474"/>
            <a:gd name="connsiteY2" fmla="*/ 280304 h 280305"/>
            <a:gd name="connsiteX0" fmla="*/ 207808 w 218474"/>
            <a:gd name="connsiteY0" fmla="*/ 34403 h 313166"/>
            <a:gd name="connsiteX1" fmla="*/ 99517 w 218474"/>
            <a:gd name="connsiteY1" fmla="*/ 94471 h 313166"/>
            <a:gd name="connsiteX2" fmla="*/ 0 w 218474"/>
            <a:gd name="connsiteY2" fmla="*/ 313166 h 313166"/>
            <a:gd name="connsiteX0" fmla="*/ 215801 w 226028"/>
            <a:gd name="connsiteY0" fmla="*/ 101624 h 225078"/>
            <a:gd name="connsiteX1" fmla="*/ 99517 w 226028"/>
            <a:gd name="connsiteY1" fmla="*/ 6383 h 225078"/>
            <a:gd name="connsiteX2" fmla="*/ 0 w 226028"/>
            <a:gd name="connsiteY2" fmla="*/ 225078 h 225078"/>
            <a:gd name="connsiteX0" fmla="*/ 231786 w 241235"/>
            <a:gd name="connsiteY0" fmla="*/ 915639 h 915639"/>
            <a:gd name="connsiteX1" fmla="*/ 99517 w 241235"/>
            <a:gd name="connsiteY1" fmla="*/ 33502 h 915639"/>
            <a:gd name="connsiteX2" fmla="*/ 0 w 241235"/>
            <a:gd name="connsiteY2" fmla="*/ 252197 h 915639"/>
            <a:gd name="connsiteX0" fmla="*/ 231786 w 291831"/>
            <a:gd name="connsiteY0" fmla="*/ 716898 h 716898"/>
            <a:gd name="connsiteX1" fmla="*/ 275355 w 291831"/>
            <a:gd name="connsiteY1" fmla="*/ 197148 h 716898"/>
            <a:gd name="connsiteX2" fmla="*/ 0 w 291831"/>
            <a:gd name="connsiteY2" fmla="*/ 53456 h 716898"/>
            <a:gd name="connsiteX0" fmla="*/ 231786 w 291831"/>
            <a:gd name="connsiteY0" fmla="*/ 664415 h 664415"/>
            <a:gd name="connsiteX1" fmla="*/ 275355 w 291831"/>
            <a:gd name="connsiteY1" fmla="*/ 144665 h 664415"/>
            <a:gd name="connsiteX2" fmla="*/ 0 w 291831"/>
            <a:gd name="connsiteY2" fmla="*/ 973 h 664415"/>
            <a:gd name="connsiteX0" fmla="*/ 207808 w 266093"/>
            <a:gd name="connsiteY0" fmla="*/ 597990 h 597990"/>
            <a:gd name="connsiteX1" fmla="*/ 251377 w 266093"/>
            <a:gd name="connsiteY1" fmla="*/ 78240 h 597990"/>
            <a:gd name="connsiteX2" fmla="*/ 0 w 266093"/>
            <a:gd name="connsiteY2" fmla="*/ 7025 h 597990"/>
            <a:gd name="connsiteX0" fmla="*/ 207808 w 307835"/>
            <a:gd name="connsiteY0" fmla="*/ 591647 h 591647"/>
            <a:gd name="connsiteX1" fmla="*/ 299333 w 307835"/>
            <a:gd name="connsiteY1" fmla="*/ 154729 h 591647"/>
            <a:gd name="connsiteX2" fmla="*/ 0 w 307835"/>
            <a:gd name="connsiteY2" fmla="*/ 682 h 591647"/>
            <a:gd name="connsiteX0" fmla="*/ 207808 w 222715"/>
            <a:gd name="connsiteY0" fmla="*/ 591518 h 591518"/>
            <a:gd name="connsiteX1" fmla="*/ 144634 w 222715"/>
            <a:gd name="connsiteY1" fmla="*/ 171626 h 591518"/>
            <a:gd name="connsiteX2" fmla="*/ 0 w 222715"/>
            <a:gd name="connsiteY2" fmla="*/ 553 h 591518"/>
            <a:gd name="connsiteX0" fmla="*/ 207808 w 222715"/>
            <a:gd name="connsiteY0" fmla="*/ 591099 h 591099"/>
            <a:gd name="connsiteX1" fmla="*/ 144634 w 222715"/>
            <a:gd name="connsiteY1" fmla="*/ 171207 h 591099"/>
            <a:gd name="connsiteX2" fmla="*/ 0 w 222715"/>
            <a:gd name="connsiteY2" fmla="*/ 134 h 591099"/>
            <a:gd name="connsiteX0" fmla="*/ 207808 w 208015"/>
            <a:gd name="connsiteY0" fmla="*/ 591099 h 591099"/>
            <a:gd name="connsiteX1" fmla="*/ 144634 w 208015"/>
            <a:gd name="connsiteY1" fmla="*/ 171207 h 591099"/>
            <a:gd name="connsiteX2" fmla="*/ 0 w 208015"/>
            <a:gd name="connsiteY2" fmla="*/ 134 h 591099"/>
          </a:gdLst>
          <a:ahLst/>
          <a:cxnLst>
            <a:cxn ang="0">
              <a:pos x="connsiteX0" y="connsiteY0"/>
            </a:cxn>
            <a:cxn ang="0">
              <a:pos x="connsiteX1" y="connsiteY1"/>
            </a:cxn>
            <a:cxn ang="0">
              <a:pos x="connsiteX2" y="connsiteY2"/>
            </a:cxn>
          </a:cxnLst>
          <a:rect l="l" t="t" r="r" b="b"/>
          <a:pathLst>
            <a:path w="208015" h="591099">
              <a:moveTo>
                <a:pt x="207808" y="591099"/>
              </a:moveTo>
              <a:cubicBezTo>
                <a:pt x="210886" y="486761"/>
                <a:pt x="179269" y="269701"/>
                <a:pt x="144634" y="171207"/>
              </a:cubicBezTo>
              <a:cubicBezTo>
                <a:pt x="109999" y="72713"/>
                <a:pt x="73149" y="-3638"/>
                <a:pt x="0" y="134"/>
              </a:cubicBezTo>
            </a:path>
          </a:pathLst>
        </a:custGeom>
        <a:noFill/>
        <a:ln>
          <a:headEnd type="none"/>
          <a:tailEnd type="arrow" w="sm"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89647</xdr:colOff>
      <xdr:row>25</xdr:row>
      <xdr:rowOff>112059</xdr:rowOff>
    </xdr:from>
    <xdr:to>
      <xdr:col>9</xdr:col>
      <xdr:colOff>403412</xdr:colOff>
      <xdr:row>27</xdr:row>
      <xdr:rowOff>44822</xdr:rowOff>
    </xdr:to>
    <xdr:sp macro="" textlink="">
      <xdr:nvSpPr>
        <xdr:cNvPr id="165" name="Freeform: Shape 164">
          <a:extLst>
            <a:ext uri="{FF2B5EF4-FFF2-40B4-BE49-F238E27FC236}">
              <a16:creationId xmlns:a16="http://schemas.microsoft.com/office/drawing/2014/main" id="{C3B1CCEB-A218-4F21-9B57-2837B4AC8989}"/>
            </a:ext>
          </a:extLst>
        </xdr:cNvPr>
        <xdr:cNvSpPr/>
      </xdr:nvSpPr>
      <xdr:spPr>
        <a:xfrm flipH="1">
          <a:off x="4482353" y="3888441"/>
          <a:ext cx="1143000" cy="291352"/>
        </a:xfrm>
        <a:custGeom>
          <a:avLst/>
          <a:gdLst>
            <a:gd name="connsiteX0" fmla="*/ 57150 w 195960"/>
            <a:gd name="connsiteY0" fmla="*/ 657263 h 657263"/>
            <a:gd name="connsiteX1" fmla="*/ 171450 w 195960"/>
            <a:gd name="connsiteY1" fmla="*/ 381038 h 657263"/>
            <a:gd name="connsiteX2" fmla="*/ 180975 w 195960"/>
            <a:gd name="connsiteY2" fmla="*/ 47663 h 657263"/>
            <a:gd name="connsiteX3" fmla="*/ 0 w 195960"/>
            <a:gd name="connsiteY3" fmla="*/ 9563 h 657263"/>
            <a:gd name="connsiteX0" fmla="*/ 0 w 198720"/>
            <a:gd name="connsiteY0" fmla="*/ 714413 h 714413"/>
            <a:gd name="connsiteX1" fmla="*/ 171450 w 198720"/>
            <a:gd name="connsiteY1" fmla="*/ 381038 h 714413"/>
            <a:gd name="connsiteX2" fmla="*/ 180975 w 198720"/>
            <a:gd name="connsiteY2" fmla="*/ 47663 h 714413"/>
            <a:gd name="connsiteX3" fmla="*/ 0 w 198720"/>
            <a:gd name="connsiteY3" fmla="*/ 9563 h 714413"/>
            <a:gd name="connsiteX0" fmla="*/ 71933 w 195324"/>
            <a:gd name="connsiteY0" fmla="*/ 683352 h 683352"/>
            <a:gd name="connsiteX1" fmla="*/ 171450 w 195324"/>
            <a:gd name="connsiteY1" fmla="*/ 381038 h 683352"/>
            <a:gd name="connsiteX2" fmla="*/ 180975 w 195324"/>
            <a:gd name="connsiteY2" fmla="*/ 47663 h 683352"/>
            <a:gd name="connsiteX3" fmla="*/ 0 w 195324"/>
            <a:gd name="connsiteY3" fmla="*/ 9563 h 683352"/>
            <a:gd name="connsiteX0" fmla="*/ 71933 w 172089"/>
            <a:gd name="connsiteY0" fmla="*/ 674488 h 674488"/>
            <a:gd name="connsiteX1" fmla="*/ 171450 w 172089"/>
            <a:gd name="connsiteY1" fmla="*/ 372174 h 674488"/>
            <a:gd name="connsiteX2" fmla="*/ 109042 w 172089"/>
            <a:gd name="connsiteY2" fmla="*/ 194107 h 674488"/>
            <a:gd name="connsiteX3" fmla="*/ 0 w 172089"/>
            <a:gd name="connsiteY3" fmla="*/ 699 h 674488"/>
            <a:gd name="connsiteX0" fmla="*/ 111896 w 212157"/>
            <a:gd name="connsiteY0" fmla="*/ 541755 h 541755"/>
            <a:gd name="connsiteX1" fmla="*/ 211413 w 212157"/>
            <a:gd name="connsiteY1" fmla="*/ 239441 h 541755"/>
            <a:gd name="connsiteX2" fmla="*/ 149005 w 212157"/>
            <a:gd name="connsiteY2" fmla="*/ 61374 h 541755"/>
            <a:gd name="connsiteX3" fmla="*/ 0 w 212157"/>
            <a:gd name="connsiteY3" fmla="*/ 2565 h 541755"/>
            <a:gd name="connsiteX0" fmla="*/ 71933 w 172089"/>
            <a:gd name="connsiteY0" fmla="*/ 612721 h 612721"/>
            <a:gd name="connsiteX1" fmla="*/ 171450 w 172089"/>
            <a:gd name="connsiteY1" fmla="*/ 310407 h 612721"/>
            <a:gd name="connsiteX2" fmla="*/ 109042 w 172089"/>
            <a:gd name="connsiteY2" fmla="*/ 132340 h 612721"/>
            <a:gd name="connsiteX3" fmla="*/ 0 w 172089"/>
            <a:gd name="connsiteY3" fmla="*/ 1055 h 612721"/>
            <a:gd name="connsiteX0" fmla="*/ 71933 w 172089"/>
            <a:gd name="connsiteY0" fmla="*/ 611666 h 611666"/>
            <a:gd name="connsiteX1" fmla="*/ 171450 w 172089"/>
            <a:gd name="connsiteY1" fmla="*/ 309352 h 611666"/>
            <a:gd name="connsiteX2" fmla="*/ 109042 w 172089"/>
            <a:gd name="connsiteY2" fmla="*/ 131285 h 611666"/>
            <a:gd name="connsiteX3" fmla="*/ 0 w 172089"/>
            <a:gd name="connsiteY3" fmla="*/ 0 h 611666"/>
            <a:gd name="connsiteX0" fmla="*/ 71933 w 171616"/>
            <a:gd name="connsiteY0" fmla="*/ 611666 h 611666"/>
            <a:gd name="connsiteX1" fmla="*/ 171450 w 171616"/>
            <a:gd name="connsiteY1" fmla="*/ 309352 h 611666"/>
            <a:gd name="connsiteX2" fmla="*/ 93057 w 171616"/>
            <a:gd name="connsiteY2" fmla="*/ 172701 h 611666"/>
            <a:gd name="connsiteX3" fmla="*/ 0 w 171616"/>
            <a:gd name="connsiteY3" fmla="*/ 0 h 611666"/>
            <a:gd name="connsiteX0" fmla="*/ 71933 w 172904"/>
            <a:gd name="connsiteY0" fmla="*/ 611666 h 611666"/>
            <a:gd name="connsiteX1" fmla="*/ 171450 w 172904"/>
            <a:gd name="connsiteY1" fmla="*/ 309352 h 611666"/>
            <a:gd name="connsiteX2" fmla="*/ 0 w 172904"/>
            <a:gd name="connsiteY2" fmla="*/ 0 h 611666"/>
            <a:gd name="connsiteX0" fmla="*/ 279741 w 291225"/>
            <a:gd name="connsiteY0" fmla="*/ 383882 h 383882"/>
            <a:gd name="connsiteX1" fmla="*/ 171450 w 291225"/>
            <a:gd name="connsiteY1" fmla="*/ 309352 h 383882"/>
            <a:gd name="connsiteX2" fmla="*/ 0 w 291225"/>
            <a:gd name="connsiteY2" fmla="*/ 0 h 383882"/>
            <a:gd name="connsiteX0" fmla="*/ 279741 w 291882"/>
            <a:gd name="connsiteY0" fmla="*/ 383882 h 586498"/>
            <a:gd name="connsiteX1" fmla="*/ 179442 w 291882"/>
            <a:gd name="connsiteY1" fmla="*/ 578551 h 586498"/>
            <a:gd name="connsiteX2" fmla="*/ 0 w 291882"/>
            <a:gd name="connsiteY2" fmla="*/ 0 h 586498"/>
            <a:gd name="connsiteX0" fmla="*/ 287734 w 299984"/>
            <a:gd name="connsiteY0" fmla="*/ 17180 h 212422"/>
            <a:gd name="connsiteX1" fmla="*/ 187435 w 299984"/>
            <a:gd name="connsiteY1" fmla="*/ 211849 h 212422"/>
            <a:gd name="connsiteX2" fmla="*/ 0 w 299984"/>
            <a:gd name="connsiteY2" fmla="*/ 68159 h 212422"/>
            <a:gd name="connsiteX0" fmla="*/ 287734 w 299984"/>
            <a:gd name="connsiteY0" fmla="*/ 19608 h 173868"/>
            <a:gd name="connsiteX1" fmla="*/ 187435 w 299984"/>
            <a:gd name="connsiteY1" fmla="*/ 172862 h 173868"/>
            <a:gd name="connsiteX2" fmla="*/ 0 w 299984"/>
            <a:gd name="connsiteY2" fmla="*/ 70587 h 173868"/>
            <a:gd name="connsiteX0" fmla="*/ 167844 w 206214"/>
            <a:gd name="connsiteY0" fmla="*/ 19608 h 173867"/>
            <a:gd name="connsiteX1" fmla="*/ 187435 w 206214"/>
            <a:gd name="connsiteY1" fmla="*/ 172862 h 173867"/>
            <a:gd name="connsiteX2" fmla="*/ 0 w 206214"/>
            <a:gd name="connsiteY2" fmla="*/ 70587 h 173867"/>
            <a:gd name="connsiteX0" fmla="*/ 209206 w 215644"/>
            <a:gd name="connsiteY0" fmla="*/ 364626 h 421656"/>
            <a:gd name="connsiteX1" fmla="*/ 5004 w 215644"/>
            <a:gd name="connsiteY1" fmla="*/ 185 h 421656"/>
            <a:gd name="connsiteX2" fmla="*/ 41362 w 215644"/>
            <a:gd name="connsiteY2" fmla="*/ 415605 h 421656"/>
            <a:gd name="connsiteX0" fmla="*/ 217586 w 223860"/>
            <a:gd name="connsiteY0" fmla="*/ 74324 h 463384"/>
            <a:gd name="connsiteX1" fmla="*/ 5391 w 223860"/>
            <a:gd name="connsiteY1" fmla="*/ 41207 h 463384"/>
            <a:gd name="connsiteX2" fmla="*/ 41749 w 223860"/>
            <a:gd name="connsiteY2" fmla="*/ 456627 h 463384"/>
            <a:gd name="connsiteX0" fmla="*/ 319705 w 326583"/>
            <a:gd name="connsiteY0" fmla="*/ 63016 h 289307"/>
            <a:gd name="connsiteX1" fmla="*/ 107510 w 326583"/>
            <a:gd name="connsiteY1" fmla="*/ 29899 h 289307"/>
            <a:gd name="connsiteX2" fmla="*/ 0 w 326583"/>
            <a:gd name="connsiteY2" fmla="*/ 279657 h 289307"/>
            <a:gd name="connsiteX0" fmla="*/ 347905 w 352497"/>
            <a:gd name="connsiteY0" fmla="*/ 82994 h 308442"/>
            <a:gd name="connsiteX1" fmla="*/ 15820 w 352497"/>
            <a:gd name="connsiteY1" fmla="*/ 18815 h 308442"/>
            <a:gd name="connsiteX2" fmla="*/ 28200 w 352497"/>
            <a:gd name="connsiteY2" fmla="*/ 299635 h 308442"/>
            <a:gd name="connsiteX0" fmla="*/ 319705 w 325777"/>
            <a:gd name="connsiteY0" fmla="*/ 75689 h 301402"/>
            <a:gd name="connsiteX1" fmla="*/ 75539 w 325777"/>
            <a:gd name="connsiteY1" fmla="*/ 21864 h 301402"/>
            <a:gd name="connsiteX2" fmla="*/ 0 w 325777"/>
            <a:gd name="connsiteY2" fmla="*/ 292330 h 301402"/>
            <a:gd name="connsiteX0" fmla="*/ 258958 w 264810"/>
            <a:gd name="connsiteY0" fmla="*/ 77201 h 323186"/>
            <a:gd name="connsiteX1" fmla="*/ 14792 w 264810"/>
            <a:gd name="connsiteY1" fmla="*/ 23376 h 323186"/>
            <a:gd name="connsiteX2" fmla="*/ 3194 w 264810"/>
            <a:gd name="connsiteY2" fmla="*/ 314549 h 323186"/>
            <a:gd name="connsiteX0" fmla="*/ 247422 w 252967"/>
            <a:gd name="connsiteY0" fmla="*/ 78716 h 345013"/>
            <a:gd name="connsiteX1" fmla="*/ 3256 w 252967"/>
            <a:gd name="connsiteY1" fmla="*/ 24891 h 345013"/>
            <a:gd name="connsiteX2" fmla="*/ 87570 w 252967"/>
            <a:gd name="connsiteY2" fmla="*/ 336771 h 345013"/>
            <a:gd name="connsiteX0" fmla="*/ 159852 w 170029"/>
            <a:gd name="connsiteY0" fmla="*/ 43827 h 312065"/>
            <a:gd name="connsiteX1" fmla="*/ 51561 w 170029"/>
            <a:gd name="connsiteY1" fmla="*/ 62479 h 312065"/>
            <a:gd name="connsiteX2" fmla="*/ 0 w 170029"/>
            <a:gd name="connsiteY2" fmla="*/ 301882 h 312065"/>
            <a:gd name="connsiteX0" fmla="*/ 159852 w 170029"/>
            <a:gd name="connsiteY0" fmla="*/ 43827 h 301882"/>
            <a:gd name="connsiteX1" fmla="*/ 51561 w 170029"/>
            <a:gd name="connsiteY1" fmla="*/ 62479 h 301882"/>
            <a:gd name="connsiteX2" fmla="*/ 0 w 170029"/>
            <a:gd name="connsiteY2" fmla="*/ 301882 h 301882"/>
            <a:gd name="connsiteX0" fmla="*/ 207808 w 218474"/>
            <a:gd name="connsiteY0" fmla="*/ 42957 h 280305"/>
            <a:gd name="connsiteX1" fmla="*/ 99517 w 218474"/>
            <a:gd name="connsiteY1" fmla="*/ 61609 h 280305"/>
            <a:gd name="connsiteX2" fmla="*/ 0 w 218474"/>
            <a:gd name="connsiteY2" fmla="*/ 280304 h 280305"/>
            <a:gd name="connsiteX0" fmla="*/ 207808 w 218474"/>
            <a:gd name="connsiteY0" fmla="*/ 34403 h 313166"/>
            <a:gd name="connsiteX1" fmla="*/ 99517 w 218474"/>
            <a:gd name="connsiteY1" fmla="*/ 94471 h 313166"/>
            <a:gd name="connsiteX2" fmla="*/ 0 w 218474"/>
            <a:gd name="connsiteY2" fmla="*/ 313166 h 313166"/>
            <a:gd name="connsiteX0" fmla="*/ 215801 w 226028"/>
            <a:gd name="connsiteY0" fmla="*/ 101624 h 225078"/>
            <a:gd name="connsiteX1" fmla="*/ 99517 w 226028"/>
            <a:gd name="connsiteY1" fmla="*/ 6383 h 225078"/>
            <a:gd name="connsiteX2" fmla="*/ 0 w 226028"/>
            <a:gd name="connsiteY2" fmla="*/ 225078 h 225078"/>
            <a:gd name="connsiteX0" fmla="*/ 231786 w 241235"/>
            <a:gd name="connsiteY0" fmla="*/ 915639 h 915639"/>
            <a:gd name="connsiteX1" fmla="*/ 99517 w 241235"/>
            <a:gd name="connsiteY1" fmla="*/ 33502 h 915639"/>
            <a:gd name="connsiteX2" fmla="*/ 0 w 241235"/>
            <a:gd name="connsiteY2" fmla="*/ 252197 h 915639"/>
            <a:gd name="connsiteX0" fmla="*/ 231786 w 291831"/>
            <a:gd name="connsiteY0" fmla="*/ 716898 h 716898"/>
            <a:gd name="connsiteX1" fmla="*/ 275355 w 291831"/>
            <a:gd name="connsiteY1" fmla="*/ 197148 h 716898"/>
            <a:gd name="connsiteX2" fmla="*/ 0 w 291831"/>
            <a:gd name="connsiteY2" fmla="*/ 53456 h 716898"/>
            <a:gd name="connsiteX0" fmla="*/ 231786 w 291831"/>
            <a:gd name="connsiteY0" fmla="*/ 664415 h 664415"/>
            <a:gd name="connsiteX1" fmla="*/ 275355 w 291831"/>
            <a:gd name="connsiteY1" fmla="*/ 144665 h 664415"/>
            <a:gd name="connsiteX2" fmla="*/ 0 w 291831"/>
            <a:gd name="connsiteY2" fmla="*/ 973 h 664415"/>
            <a:gd name="connsiteX0" fmla="*/ 207808 w 266093"/>
            <a:gd name="connsiteY0" fmla="*/ 597990 h 597990"/>
            <a:gd name="connsiteX1" fmla="*/ 251377 w 266093"/>
            <a:gd name="connsiteY1" fmla="*/ 78240 h 597990"/>
            <a:gd name="connsiteX2" fmla="*/ 0 w 266093"/>
            <a:gd name="connsiteY2" fmla="*/ 7025 h 597990"/>
            <a:gd name="connsiteX0" fmla="*/ 207808 w 307835"/>
            <a:gd name="connsiteY0" fmla="*/ 591647 h 591647"/>
            <a:gd name="connsiteX1" fmla="*/ 299333 w 307835"/>
            <a:gd name="connsiteY1" fmla="*/ 154729 h 591647"/>
            <a:gd name="connsiteX2" fmla="*/ 0 w 307835"/>
            <a:gd name="connsiteY2" fmla="*/ 682 h 591647"/>
            <a:gd name="connsiteX0" fmla="*/ 207808 w 222715"/>
            <a:gd name="connsiteY0" fmla="*/ 591518 h 591518"/>
            <a:gd name="connsiteX1" fmla="*/ 144634 w 222715"/>
            <a:gd name="connsiteY1" fmla="*/ 171626 h 591518"/>
            <a:gd name="connsiteX2" fmla="*/ 0 w 222715"/>
            <a:gd name="connsiteY2" fmla="*/ 553 h 591518"/>
            <a:gd name="connsiteX0" fmla="*/ 207808 w 222715"/>
            <a:gd name="connsiteY0" fmla="*/ 591099 h 591099"/>
            <a:gd name="connsiteX1" fmla="*/ 144634 w 222715"/>
            <a:gd name="connsiteY1" fmla="*/ 171207 h 591099"/>
            <a:gd name="connsiteX2" fmla="*/ 0 w 222715"/>
            <a:gd name="connsiteY2" fmla="*/ 134 h 591099"/>
            <a:gd name="connsiteX0" fmla="*/ 207808 w 208015"/>
            <a:gd name="connsiteY0" fmla="*/ 591099 h 591099"/>
            <a:gd name="connsiteX1" fmla="*/ 144634 w 208015"/>
            <a:gd name="connsiteY1" fmla="*/ 171207 h 591099"/>
            <a:gd name="connsiteX2" fmla="*/ 0 w 208015"/>
            <a:gd name="connsiteY2" fmla="*/ 134 h 591099"/>
            <a:gd name="connsiteX0" fmla="*/ 207808 w 208015"/>
            <a:gd name="connsiteY0" fmla="*/ 590965 h 590965"/>
            <a:gd name="connsiteX1" fmla="*/ 144634 w 208015"/>
            <a:gd name="connsiteY1" fmla="*/ 171073 h 590965"/>
            <a:gd name="connsiteX2" fmla="*/ 0 w 208015"/>
            <a:gd name="connsiteY2" fmla="*/ 0 h 590965"/>
            <a:gd name="connsiteX0" fmla="*/ 207808 w 207808"/>
            <a:gd name="connsiteY0" fmla="*/ 590965 h 590965"/>
            <a:gd name="connsiteX1" fmla="*/ 0 w 207808"/>
            <a:gd name="connsiteY1" fmla="*/ 0 h 590965"/>
            <a:gd name="connsiteX0" fmla="*/ 207808 w 329528"/>
            <a:gd name="connsiteY0" fmla="*/ 590965 h 590965"/>
            <a:gd name="connsiteX1" fmla="*/ 321721 w 329528"/>
            <a:gd name="connsiteY1" fmla="*/ 26980 h 590965"/>
            <a:gd name="connsiteX2" fmla="*/ 0 w 329528"/>
            <a:gd name="connsiteY2" fmla="*/ 0 h 590965"/>
            <a:gd name="connsiteX0" fmla="*/ 207808 w 250347"/>
            <a:gd name="connsiteY0" fmla="*/ 590965 h 590965"/>
            <a:gd name="connsiteX1" fmla="*/ 238517 w 250347"/>
            <a:gd name="connsiteY1" fmla="*/ 178822 h 590965"/>
            <a:gd name="connsiteX2" fmla="*/ 0 w 250347"/>
            <a:gd name="connsiteY2" fmla="*/ 0 h 590965"/>
            <a:gd name="connsiteX0" fmla="*/ 207808 w 270212"/>
            <a:gd name="connsiteY0" fmla="*/ 590965 h 590965"/>
            <a:gd name="connsiteX1" fmla="*/ 238517 w 270212"/>
            <a:gd name="connsiteY1" fmla="*/ 178822 h 590965"/>
            <a:gd name="connsiteX2" fmla="*/ 0 w 270212"/>
            <a:gd name="connsiteY2" fmla="*/ 0 h 590965"/>
            <a:gd name="connsiteX0" fmla="*/ 207808 w 270212"/>
            <a:gd name="connsiteY0" fmla="*/ 590965 h 590965"/>
            <a:gd name="connsiteX1" fmla="*/ 238517 w 270212"/>
            <a:gd name="connsiteY1" fmla="*/ 178822 h 590965"/>
            <a:gd name="connsiteX2" fmla="*/ 0 w 270212"/>
            <a:gd name="connsiteY2" fmla="*/ 0 h 590965"/>
            <a:gd name="connsiteX0" fmla="*/ 207808 w 207808"/>
            <a:gd name="connsiteY0" fmla="*/ 590965 h 590965"/>
            <a:gd name="connsiteX1" fmla="*/ 0 w 207808"/>
            <a:gd name="connsiteY1" fmla="*/ 0 h 590965"/>
            <a:gd name="connsiteX0" fmla="*/ 201425 w 201425"/>
            <a:gd name="connsiteY0" fmla="*/ 232167 h 232167"/>
            <a:gd name="connsiteX1" fmla="*/ 0 w 201425"/>
            <a:gd name="connsiteY1" fmla="*/ 0 h 232167"/>
            <a:gd name="connsiteX0" fmla="*/ 201425 w 201425"/>
            <a:gd name="connsiteY0" fmla="*/ 232167 h 319446"/>
            <a:gd name="connsiteX1" fmla="*/ 96876 w 201425"/>
            <a:gd name="connsiteY1" fmla="*/ 315532 h 319446"/>
            <a:gd name="connsiteX2" fmla="*/ 0 w 201425"/>
            <a:gd name="connsiteY2" fmla="*/ 0 h 319446"/>
            <a:gd name="connsiteX0" fmla="*/ 201425 w 201425"/>
            <a:gd name="connsiteY0" fmla="*/ 232167 h 344485"/>
            <a:gd name="connsiteX1" fmla="*/ 96876 w 201425"/>
            <a:gd name="connsiteY1" fmla="*/ 315532 h 344485"/>
            <a:gd name="connsiteX2" fmla="*/ 0 w 201425"/>
            <a:gd name="connsiteY2" fmla="*/ 0 h 344485"/>
            <a:gd name="connsiteX0" fmla="*/ 201425 w 201425"/>
            <a:gd name="connsiteY0" fmla="*/ 232167 h 320285"/>
            <a:gd name="connsiteX1" fmla="*/ 96876 w 201425"/>
            <a:gd name="connsiteY1" fmla="*/ 315532 h 320285"/>
            <a:gd name="connsiteX2" fmla="*/ 0 w 201425"/>
            <a:gd name="connsiteY2" fmla="*/ 0 h 320285"/>
            <a:gd name="connsiteX0" fmla="*/ 201425 w 201425"/>
            <a:gd name="connsiteY0" fmla="*/ 232167 h 334298"/>
            <a:gd name="connsiteX1" fmla="*/ 96876 w 201425"/>
            <a:gd name="connsiteY1" fmla="*/ 315532 h 334298"/>
            <a:gd name="connsiteX2" fmla="*/ 0 w 201425"/>
            <a:gd name="connsiteY2" fmla="*/ 0 h 334298"/>
            <a:gd name="connsiteX0" fmla="*/ 210441 w 210441"/>
            <a:gd name="connsiteY0" fmla="*/ 610618 h 632862"/>
            <a:gd name="connsiteX1" fmla="*/ 96876 w 210441"/>
            <a:gd name="connsiteY1" fmla="*/ 315532 h 632862"/>
            <a:gd name="connsiteX2" fmla="*/ 0 w 210441"/>
            <a:gd name="connsiteY2" fmla="*/ 0 h 632862"/>
            <a:gd name="connsiteX0" fmla="*/ 210441 w 210441"/>
            <a:gd name="connsiteY0" fmla="*/ 610618 h 610618"/>
            <a:gd name="connsiteX1" fmla="*/ 96876 w 210441"/>
            <a:gd name="connsiteY1" fmla="*/ 315532 h 610618"/>
            <a:gd name="connsiteX2" fmla="*/ 0 w 210441"/>
            <a:gd name="connsiteY2" fmla="*/ 0 h 610618"/>
            <a:gd name="connsiteX0" fmla="*/ 210441 w 210441"/>
            <a:gd name="connsiteY0" fmla="*/ 610618 h 610618"/>
            <a:gd name="connsiteX1" fmla="*/ 96876 w 210441"/>
            <a:gd name="connsiteY1" fmla="*/ 315532 h 610618"/>
            <a:gd name="connsiteX2" fmla="*/ 0 w 210441"/>
            <a:gd name="connsiteY2" fmla="*/ 0 h 610618"/>
            <a:gd name="connsiteX0" fmla="*/ 210441 w 210441"/>
            <a:gd name="connsiteY0" fmla="*/ 610618 h 610618"/>
            <a:gd name="connsiteX1" fmla="*/ 96876 w 210441"/>
            <a:gd name="connsiteY1" fmla="*/ 315532 h 610618"/>
            <a:gd name="connsiteX2" fmla="*/ 0 w 210441"/>
            <a:gd name="connsiteY2" fmla="*/ 0 h 610618"/>
          </a:gdLst>
          <a:ahLst/>
          <a:cxnLst>
            <a:cxn ang="0">
              <a:pos x="connsiteX0" y="connsiteY0"/>
            </a:cxn>
            <a:cxn ang="0">
              <a:pos x="connsiteX1" y="connsiteY1"/>
            </a:cxn>
            <a:cxn ang="0">
              <a:pos x="connsiteX2" y="connsiteY2"/>
            </a:cxn>
          </a:cxnLst>
          <a:rect l="l" t="t" r="r" b="b"/>
          <a:pathLst>
            <a:path w="210441" h="610618">
              <a:moveTo>
                <a:pt x="210441" y="610618"/>
              </a:moveTo>
              <a:cubicBezTo>
                <a:pt x="136554" y="545187"/>
                <a:pt x="142627" y="449515"/>
                <a:pt x="96876" y="315532"/>
              </a:cubicBezTo>
              <a:cubicBezTo>
                <a:pt x="51125" y="181549"/>
                <a:pt x="32292" y="105177"/>
                <a:pt x="0" y="0"/>
              </a:cubicBezTo>
            </a:path>
          </a:pathLst>
        </a:custGeom>
        <a:noFill/>
        <a:ln>
          <a:headEnd type="none"/>
          <a:tailEnd type="arrow" w="sm"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0</xdr:colOff>
      <xdr:row>40</xdr:row>
      <xdr:rowOff>1</xdr:rowOff>
    </xdr:from>
    <xdr:to>
      <xdr:col>24</xdr:col>
      <xdr:colOff>2798</xdr:colOff>
      <xdr:row>42</xdr:row>
      <xdr:rowOff>1</xdr:rowOff>
    </xdr:to>
    <xdr:sp macro="" textlink="">
      <xdr:nvSpPr>
        <xdr:cNvPr id="167" name="Right Brace 166">
          <a:extLst>
            <a:ext uri="{FF2B5EF4-FFF2-40B4-BE49-F238E27FC236}">
              <a16:creationId xmlns:a16="http://schemas.microsoft.com/office/drawing/2014/main" id="{C9B7891E-FA9B-4404-AFD5-CA490AC8A704}"/>
            </a:ext>
          </a:extLst>
        </xdr:cNvPr>
        <xdr:cNvSpPr/>
      </xdr:nvSpPr>
      <xdr:spPr>
        <a:xfrm rot="5400000">
          <a:off x="8316724" y="1713102"/>
          <a:ext cx="409575" cy="10737473"/>
        </a:xfrm>
        <a:prstGeom prst="rightBrace">
          <a:avLst>
            <a:gd name="adj1" fmla="val 22287"/>
            <a:gd name="adj2" fmla="val 49864"/>
          </a:avLst>
        </a:prstGeom>
        <a:ln w="25400">
          <a:solidFill>
            <a:schemeClr val="bg2">
              <a:lumMod val="50000"/>
            </a:schemeClr>
          </a:solidFill>
          <a:extLst>
            <a:ext uri="{C807C97D-BFC1-408E-A445-0C87EB9F89A2}">
              <ask:lineSketchStyleProps xmlns:ask="http://schemas.microsoft.com/office/drawing/2018/sketchyshapes" sd="3705000160">
                <a:custGeom>
                  <a:avLst/>
                  <a:gdLst>
                    <a:gd name="connsiteX0" fmla="*/ 0 w 481853"/>
                    <a:gd name="connsiteY0" fmla="*/ 0 h 3608295"/>
                    <a:gd name="connsiteX1" fmla="*/ 240927 w 481853"/>
                    <a:gd name="connsiteY1" fmla="*/ 40153 h 3608295"/>
                    <a:gd name="connsiteX2" fmla="*/ 240927 w 481853"/>
                    <a:gd name="connsiteY2" fmla="*/ 597383 h 3608295"/>
                    <a:gd name="connsiteX3" fmla="*/ 240927 w 481853"/>
                    <a:gd name="connsiteY3" fmla="*/ 1177358 h 3608295"/>
                    <a:gd name="connsiteX4" fmla="*/ 481854 w 481853"/>
                    <a:gd name="connsiteY4" fmla="*/ 1217511 h 3608295"/>
                    <a:gd name="connsiteX5" fmla="*/ 240927 w 481853"/>
                    <a:gd name="connsiteY5" fmla="*/ 1257664 h 3608295"/>
                    <a:gd name="connsiteX6" fmla="*/ 240927 w 481853"/>
                    <a:gd name="connsiteY6" fmla="*/ 1765969 h 3608295"/>
                    <a:gd name="connsiteX7" fmla="*/ 240927 w 481853"/>
                    <a:gd name="connsiteY7" fmla="*/ 2343589 h 3608295"/>
                    <a:gd name="connsiteX8" fmla="*/ 240927 w 481853"/>
                    <a:gd name="connsiteY8" fmla="*/ 2898103 h 3608295"/>
                    <a:gd name="connsiteX9" fmla="*/ 240927 w 481853"/>
                    <a:gd name="connsiteY9" fmla="*/ 3568142 h 3608295"/>
                    <a:gd name="connsiteX10" fmla="*/ 0 w 481853"/>
                    <a:gd name="connsiteY10" fmla="*/ 3608295 h 3608295"/>
                    <a:gd name="connsiteX11" fmla="*/ 0 w 481853"/>
                    <a:gd name="connsiteY11" fmla="*/ 3020658 h 3608295"/>
                    <a:gd name="connsiteX12" fmla="*/ 0 w 481853"/>
                    <a:gd name="connsiteY12" fmla="*/ 2541271 h 3608295"/>
                    <a:gd name="connsiteX13" fmla="*/ 0 w 481853"/>
                    <a:gd name="connsiteY13" fmla="*/ 2134049 h 3608295"/>
                    <a:gd name="connsiteX14" fmla="*/ 0 w 481853"/>
                    <a:gd name="connsiteY14" fmla="*/ 1546412 h 3608295"/>
                    <a:gd name="connsiteX15" fmla="*/ 0 w 481853"/>
                    <a:gd name="connsiteY15" fmla="*/ 958776 h 3608295"/>
                    <a:gd name="connsiteX16" fmla="*/ 0 w 481853"/>
                    <a:gd name="connsiteY16" fmla="*/ 515471 h 3608295"/>
                    <a:gd name="connsiteX17" fmla="*/ 0 w 481853"/>
                    <a:gd name="connsiteY17" fmla="*/ 0 h 3608295"/>
                    <a:gd name="connsiteX0" fmla="*/ 0 w 481853"/>
                    <a:gd name="connsiteY0" fmla="*/ 0 h 3608295"/>
                    <a:gd name="connsiteX1" fmla="*/ 240927 w 481853"/>
                    <a:gd name="connsiteY1" fmla="*/ 40153 h 3608295"/>
                    <a:gd name="connsiteX2" fmla="*/ 240927 w 481853"/>
                    <a:gd name="connsiteY2" fmla="*/ 586011 h 3608295"/>
                    <a:gd name="connsiteX3" fmla="*/ 240927 w 481853"/>
                    <a:gd name="connsiteY3" fmla="*/ 1177358 h 3608295"/>
                    <a:gd name="connsiteX4" fmla="*/ 481854 w 481853"/>
                    <a:gd name="connsiteY4" fmla="*/ 1217511 h 3608295"/>
                    <a:gd name="connsiteX5" fmla="*/ 240927 w 481853"/>
                    <a:gd name="connsiteY5" fmla="*/ 1257664 h 3608295"/>
                    <a:gd name="connsiteX6" fmla="*/ 240927 w 481853"/>
                    <a:gd name="connsiteY6" fmla="*/ 1765969 h 3608295"/>
                    <a:gd name="connsiteX7" fmla="*/ 240927 w 481853"/>
                    <a:gd name="connsiteY7" fmla="*/ 2366693 h 3608295"/>
                    <a:gd name="connsiteX8" fmla="*/ 240927 w 481853"/>
                    <a:gd name="connsiteY8" fmla="*/ 2874999 h 3608295"/>
                    <a:gd name="connsiteX9" fmla="*/ 240927 w 481853"/>
                    <a:gd name="connsiteY9" fmla="*/ 3568142 h 3608295"/>
                    <a:gd name="connsiteX10" fmla="*/ 0 w 481853"/>
                    <a:gd name="connsiteY10" fmla="*/ 3608295 h 36082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81853" h="3608295" stroke="0" extrusionOk="0">
                      <a:moveTo>
                        <a:pt x="0" y="0"/>
                      </a:moveTo>
                      <a:cubicBezTo>
                        <a:pt x="131089" y="248"/>
                        <a:pt x="239457" y="18662"/>
                        <a:pt x="240927" y="40153"/>
                      </a:cubicBezTo>
                      <a:cubicBezTo>
                        <a:pt x="254854" y="171930"/>
                        <a:pt x="190243" y="351734"/>
                        <a:pt x="240927" y="597383"/>
                      </a:cubicBezTo>
                      <a:cubicBezTo>
                        <a:pt x="291611" y="843032"/>
                        <a:pt x="201308" y="1029605"/>
                        <a:pt x="240927" y="1177358"/>
                      </a:cubicBezTo>
                      <a:cubicBezTo>
                        <a:pt x="238459" y="1191425"/>
                        <a:pt x="367072" y="1234522"/>
                        <a:pt x="481854" y="1217511"/>
                      </a:cubicBezTo>
                      <a:cubicBezTo>
                        <a:pt x="346044" y="1216053"/>
                        <a:pt x="240849" y="1234343"/>
                        <a:pt x="240927" y="1257664"/>
                      </a:cubicBezTo>
                      <a:cubicBezTo>
                        <a:pt x="295085" y="1423339"/>
                        <a:pt x="209245" y="1600641"/>
                        <a:pt x="240927" y="1765969"/>
                      </a:cubicBezTo>
                      <a:cubicBezTo>
                        <a:pt x="272609" y="1931297"/>
                        <a:pt x="208957" y="2067742"/>
                        <a:pt x="240927" y="2343589"/>
                      </a:cubicBezTo>
                      <a:cubicBezTo>
                        <a:pt x="272897" y="2619436"/>
                        <a:pt x="184052" y="2751313"/>
                        <a:pt x="240927" y="2898103"/>
                      </a:cubicBezTo>
                      <a:cubicBezTo>
                        <a:pt x="297802" y="3044893"/>
                        <a:pt x="181557" y="3385199"/>
                        <a:pt x="240927" y="3568142"/>
                      </a:cubicBezTo>
                      <a:cubicBezTo>
                        <a:pt x="267697" y="3598815"/>
                        <a:pt x="121091" y="3588264"/>
                        <a:pt x="0" y="3608295"/>
                      </a:cubicBezTo>
                      <a:cubicBezTo>
                        <a:pt x="-66658" y="3370436"/>
                        <a:pt x="60667" y="3223090"/>
                        <a:pt x="0" y="3020658"/>
                      </a:cubicBezTo>
                      <a:cubicBezTo>
                        <a:pt x="-60667" y="2818226"/>
                        <a:pt x="36565" y="2665929"/>
                        <a:pt x="0" y="2541271"/>
                      </a:cubicBezTo>
                      <a:cubicBezTo>
                        <a:pt x="-36565" y="2416613"/>
                        <a:pt x="31079" y="2314505"/>
                        <a:pt x="0" y="2134049"/>
                      </a:cubicBezTo>
                      <a:cubicBezTo>
                        <a:pt x="-31079" y="1953593"/>
                        <a:pt x="36623" y="1828673"/>
                        <a:pt x="0" y="1546412"/>
                      </a:cubicBezTo>
                      <a:cubicBezTo>
                        <a:pt x="-36623" y="1264151"/>
                        <a:pt x="41174" y="1178388"/>
                        <a:pt x="0" y="958776"/>
                      </a:cubicBezTo>
                      <a:cubicBezTo>
                        <a:pt x="-41174" y="739164"/>
                        <a:pt x="6736" y="673264"/>
                        <a:pt x="0" y="515471"/>
                      </a:cubicBezTo>
                      <a:cubicBezTo>
                        <a:pt x="-6736" y="357678"/>
                        <a:pt x="5744" y="141085"/>
                        <a:pt x="0" y="0"/>
                      </a:cubicBezTo>
                      <a:close/>
                    </a:path>
                    <a:path w="481853" h="3608295" fill="none" extrusionOk="0">
                      <a:moveTo>
                        <a:pt x="0" y="0"/>
                      </a:moveTo>
                      <a:cubicBezTo>
                        <a:pt x="138771" y="-2264"/>
                        <a:pt x="237779" y="21295"/>
                        <a:pt x="240927" y="40153"/>
                      </a:cubicBezTo>
                      <a:cubicBezTo>
                        <a:pt x="276736" y="259420"/>
                        <a:pt x="227420" y="424180"/>
                        <a:pt x="240927" y="586011"/>
                      </a:cubicBezTo>
                      <a:cubicBezTo>
                        <a:pt x="254434" y="747842"/>
                        <a:pt x="215291" y="895665"/>
                        <a:pt x="240927" y="1177358"/>
                      </a:cubicBezTo>
                      <a:cubicBezTo>
                        <a:pt x="243340" y="1204760"/>
                        <a:pt x="324180" y="1208813"/>
                        <a:pt x="481854" y="1217511"/>
                      </a:cubicBezTo>
                      <a:cubicBezTo>
                        <a:pt x="350871" y="1215728"/>
                        <a:pt x="245947" y="1235348"/>
                        <a:pt x="240927" y="1257664"/>
                      </a:cubicBezTo>
                      <a:cubicBezTo>
                        <a:pt x="281030" y="1388607"/>
                        <a:pt x="207643" y="1651195"/>
                        <a:pt x="240927" y="1765969"/>
                      </a:cubicBezTo>
                      <a:cubicBezTo>
                        <a:pt x="274211" y="1880744"/>
                        <a:pt x="168889" y="2155879"/>
                        <a:pt x="240927" y="2366693"/>
                      </a:cubicBezTo>
                      <a:cubicBezTo>
                        <a:pt x="312965" y="2577507"/>
                        <a:pt x="231267" y="2672134"/>
                        <a:pt x="240927" y="2874999"/>
                      </a:cubicBezTo>
                      <a:cubicBezTo>
                        <a:pt x="250587" y="3077864"/>
                        <a:pt x="224884" y="3340504"/>
                        <a:pt x="240927" y="3568142"/>
                      </a:cubicBezTo>
                      <a:cubicBezTo>
                        <a:pt x="250296" y="3617729"/>
                        <a:pt x="153818" y="3604941"/>
                        <a:pt x="0" y="3608295"/>
                      </a:cubicBezTo>
                    </a:path>
                  </a:pathLst>
                </a:custGeom>
                <ask:type>
                  <ask:lineSketchNone/>
                </ask:type>
              </ask:lineSketchStyleProps>
            </a:ext>
          </a:extLs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20</xdr:col>
      <xdr:colOff>0</xdr:colOff>
      <xdr:row>5</xdr:row>
      <xdr:rowOff>157370</xdr:rowOff>
    </xdr:from>
    <xdr:to>
      <xdr:col>21</xdr:col>
      <xdr:colOff>670891</xdr:colOff>
      <xdr:row>10</xdr:row>
      <xdr:rowOff>115955</xdr:rowOff>
    </xdr:to>
    <xdr:sp macro="" textlink="">
      <xdr:nvSpPr>
        <xdr:cNvPr id="168" name="Freeform: Shape 167">
          <a:extLst>
            <a:ext uri="{FF2B5EF4-FFF2-40B4-BE49-F238E27FC236}">
              <a16:creationId xmlns:a16="http://schemas.microsoft.com/office/drawing/2014/main" id="{21B018F2-4256-4A37-A7D1-0E2348D6CC51}"/>
            </a:ext>
          </a:extLst>
        </xdr:cNvPr>
        <xdr:cNvSpPr/>
      </xdr:nvSpPr>
      <xdr:spPr>
        <a:xfrm flipV="1">
          <a:off x="11289196" y="687457"/>
          <a:ext cx="811695" cy="869672"/>
        </a:xfrm>
        <a:custGeom>
          <a:avLst/>
          <a:gdLst>
            <a:gd name="connsiteX0" fmla="*/ 57150 w 195960"/>
            <a:gd name="connsiteY0" fmla="*/ 657263 h 657263"/>
            <a:gd name="connsiteX1" fmla="*/ 171450 w 195960"/>
            <a:gd name="connsiteY1" fmla="*/ 381038 h 657263"/>
            <a:gd name="connsiteX2" fmla="*/ 180975 w 195960"/>
            <a:gd name="connsiteY2" fmla="*/ 47663 h 657263"/>
            <a:gd name="connsiteX3" fmla="*/ 0 w 195960"/>
            <a:gd name="connsiteY3" fmla="*/ 9563 h 657263"/>
            <a:gd name="connsiteX0" fmla="*/ 0 w 198720"/>
            <a:gd name="connsiteY0" fmla="*/ 714413 h 714413"/>
            <a:gd name="connsiteX1" fmla="*/ 171450 w 198720"/>
            <a:gd name="connsiteY1" fmla="*/ 381038 h 714413"/>
            <a:gd name="connsiteX2" fmla="*/ 180975 w 198720"/>
            <a:gd name="connsiteY2" fmla="*/ 47663 h 714413"/>
            <a:gd name="connsiteX3" fmla="*/ 0 w 198720"/>
            <a:gd name="connsiteY3" fmla="*/ 9563 h 714413"/>
            <a:gd name="connsiteX0" fmla="*/ 71933 w 195324"/>
            <a:gd name="connsiteY0" fmla="*/ 683352 h 683352"/>
            <a:gd name="connsiteX1" fmla="*/ 171450 w 195324"/>
            <a:gd name="connsiteY1" fmla="*/ 381038 h 683352"/>
            <a:gd name="connsiteX2" fmla="*/ 180975 w 195324"/>
            <a:gd name="connsiteY2" fmla="*/ 47663 h 683352"/>
            <a:gd name="connsiteX3" fmla="*/ 0 w 195324"/>
            <a:gd name="connsiteY3" fmla="*/ 9563 h 683352"/>
            <a:gd name="connsiteX0" fmla="*/ 71933 w 172089"/>
            <a:gd name="connsiteY0" fmla="*/ 674488 h 674488"/>
            <a:gd name="connsiteX1" fmla="*/ 171450 w 172089"/>
            <a:gd name="connsiteY1" fmla="*/ 372174 h 674488"/>
            <a:gd name="connsiteX2" fmla="*/ 109042 w 172089"/>
            <a:gd name="connsiteY2" fmla="*/ 194107 h 674488"/>
            <a:gd name="connsiteX3" fmla="*/ 0 w 172089"/>
            <a:gd name="connsiteY3" fmla="*/ 699 h 674488"/>
            <a:gd name="connsiteX0" fmla="*/ 111896 w 212157"/>
            <a:gd name="connsiteY0" fmla="*/ 541755 h 541755"/>
            <a:gd name="connsiteX1" fmla="*/ 211413 w 212157"/>
            <a:gd name="connsiteY1" fmla="*/ 239441 h 541755"/>
            <a:gd name="connsiteX2" fmla="*/ 149005 w 212157"/>
            <a:gd name="connsiteY2" fmla="*/ 61374 h 541755"/>
            <a:gd name="connsiteX3" fmla="*/ 0 w 212157"/>
            <a:gd name="connsiteY3" fmla="*/ 2565 h 541755"/>
            <a:gd name="connsiteX0" fmla="*/ 71933 w 172089"/>
            <a:gd name="connsiteY0" fmla="*/ 612721 h 612721"/>
            <a:gd name="connsiteX1" fmla="*/ 171450 w 172089"/>
            <a:gd name="connsiteY1" fmla="*/ 310407 h 612721"/>
            <a:gd name="connsiteX2" fmla="*/ 109042 w 172089"/>
            <a:gd name="connsiteY2" fmla="*/ 132340 h 612721"/>
            <a:gd name="connsiteX3" fmla="*/ 0 w 172089"/>
            <a:gd name="connsiteY3" fmla="*/ 1055 h 612721"/>
            <a:gd name="connsiteX0" fmla="*/ 71933 w 172089"/>
            <a:gd name="connsiteY0" fmla="*/ 611666 h 611666"/>
            <a:gd name="connsiteX1" fmla="*/ 171450 w 172089"/>
            <a:gd name="connsiteY1" fmla="*/ 309352 h 611666"/>
            <a:gd name="connsiteX2" fmla="*/ 109042 w 172089"/>
            <a:gd name="connsiteY2" fmla="*/ 131285 h 611666"/>
            <a:gd name="connsiteX3" fmla="*/ 0 w 172089"/>
            <a:gd name="connsiteY3" fmla="*/ 0 h 611666"/>
            <a:gd name="connsiteX0" fmla="*/ 71933 w 171616"/>
            <a:gd name="connsiteY0" fmla="*/ 611666 h 611666"/>
            <a:gd name="connsiteX1" fmla="*/ 171450 w 171616"/>
            <a:gd name="connsiteY1" fmla="*/ 309352 h 611666"/>
            <a:gd name="connsiteX2" fmla="*/ 93057 w 171616"/>
            <a:gd name="connsiteY2" fmla="*/ 172701 h 611666"/>
            <a:gd name="connsiteX3" fmla="*/ 0 w 171616"/>
            <a:gd name="connsiteY3" fmla="*/ 0 h 611666"/>
            <a:gd name="connsiteX0" fmla="*/ 71933 w 172904"/>
            <a:gd name="connsiteY0" fmla="*/ 611666 h 611666"/>
            <a:gd name="connsiteX1" fmla="*/ 171450 w 172904"/>
            <a:gd name="connsiteY1" fmla="*/ 309352 h 611666"/>
            <a:gd name="connsiteX2" fmla="*/ 0 w 172904"/>
            <a:gd name="connsiteY2" fmla="*/ 0 h 611666"/>
            <a:gd name="connsiteX0" fmla="*/ 279741 w 291225"/>
            <a:gd name="connsiteY0" fmla="*/ 383882 h 383882"/>
            <a:gd name="connsiteX1" fmla="*/ 171450 w 291225"/>
            <a:gd name="connsiteY1" fmla="*/ 309352 h 383882"/>
            <a:gd name="connsiteX2" fmla="*/ 0 w 291225"/>
            <a:gd name="connsiteY2" fmla="*/ 0 h 383882"/>
            <a:gd name="connsiteX0" fmla="*/ 279741 w 291882"/>
            <a:gd name="connsiteY0" fmla="*/ 383882 h 586498"/>
            <a:gd name="connsiteX1" fmla="*/ 179442 w 291882"/>
            <a:gd name="connsiteY1" fmla="*/ 578551 h 586498"/>
            <a:gd name="connsiteX2" fmla="*/ 0 w 291882"/>
            <a:gd name="connsiteY2" fmla="*/ 0 h 586498"/>
            <a:gd name="connsiteX0" fmla="*/ 287734 w 299984"/>
            <a:gd name="connsiteY0" fmla="*/ 17180 h 212422"/>
            <a:gd name="connsiteX1" fmla="*/ 187435 w 299984"/>
            <a:gd name="connsiteY1" fmla="*/ 211849 h 212422"/>
            <a:gd name="connsiteX2" fmla="*/ 0 w 299984"/>
            <a:gd name="connsiteY2" fmla="*/ 68159 h 212422"/>
            <a:gd name="connsiteX0" fmla="*/ 287734 w 299984"/>
            <a:gd name="connsiteY0" fmla="*/ 19608 h 173868"/>
            <a:gd name="connsiteX1" fmla="*/ 187435 w 299984"/>
            <a:gd name="connsiteY1" fmla="*/ 172862 h 173868"/>
            <a:gd name="connsiteX2" fmla="*/ 0 w 299984"/>
            <a:gd name="connsiteY2" fmla="*/ 70587 h 173868"/>
            <a:gd name="connsiteX0" fmla="*/ 167844 w 206214"/>
            <a:gd name="connsiteY0" fmla="*/ 19608 h 173867"/>
            <a:gd name="connsiteX1" fmla="*/ 187435 w 206214"/>
            <a:gd name="connsiteY1" fmla="*/ 172862 h 173867"/>
            <a:gd name="connsiteX2" fmla="*/ 0 w 206214"/>
            <a:gd name="connsiteY2" fmla="*/ 70587 h 173867"/>
            <a:gd name="connsiteX0" fmla="*/ 209206 w 215644"/>
            <a:gd name="connsiteY0" fmla="*/ 364626 h 421656"/>
            <a:gd name="connsiteX1" fmla="*/ 5004 w 215644"/>
            <a:gd name="connsiteY1" fmla="*/ 185 h 421656"/>
            <a:gd name="connsiteX2" fmla="*/ 41362 w 215644"/>
            <a:gd name="connsiteY2" fmla="*/ 415605 h 421656"/>
            <a:gd name="connsiteX0" fmla="*/ 217586 w 223860"/>
            <a:gd name="connsiteY0" fmla="*/ 74324 h 463384"/>
            <a:gd name="connsiteX1" fmla="*/ 5391 w 223860"/>
            <a:gd name="connsiteY1" fmla="*/ 41207 h 463384"/>
            <a:gd name="connsiteX2" fmla="*/ 41749 w 223860"/>
            <a:gd name="connsiteY2" fmla="*/ 456627 h 463384"/>
            <a:gd name="connsiteX0" fmla="*/ 319705 w 326583"/>
            <a:gd name="connsiteY0" fmla="*/ 63016 h 289307"/>
            <a:gd name="connsiteX1" fmla="*/ 107510 w 326583"/>
            <a:gd name="connsiteY1" fmla="*/ 29899 h 289307"/>
            <a:gd name="connsiteX2" fmla="*/ 0 w 326583"/>
            <a:gd name="connsiteY2" fmla="*/ 279657 h 289307"/>
            <a:gd name="connsiteX0" fmla="*/ 347905 w 352497"/>
            <a:gd name="connsiteY0" fmla="*/ 82994 h 308442"/>
            <a:gd name="connsiteX1" fmla="*/ 15820 w 352497"/>
            <a:gd name="connsiteY1" fmla="*/ 18815 h 308442"/>
            <a:gd name="connsiteX2" fmla="*/ 28200 w 352497"/>
            <a:gd name="connsiteY2" fmla="*/ 299635 h 308442"/>
            <a:gd name="connsiteX0" fmla="*/ 319705 w 325777"/>
            <a:gd name="connsiteY0" fmla="*/ 75689 h 301402"/>
            <a:gd name="connsiteX1" fmla="*/ 75539 w 325777"/>
            <a:gd name="connsiteY1" fmla="*/ 21864 h 301402"/>
            <a:gd name="connsiteX2" fmla="*/ 0 w 325777"/>
            <a:gd name="connsiteY2" fmla="*/ 292330 h 301402"/>
            <a:gd name="connsiteX0" fmla="*/ 258958 w 264810"/>
            <a:gd name="connsiteY0" fmla="*/ 77201 h 323186"/>
            <a:gd name="connsiteX1" fmla="*/ 14792 w 264810"/>
            <a:gd name="connsiteY1" fmla="*/ 23376 h 323186"/>
            <a:gd name="connsiteX2" fmla="*/ 3194 w 264810"/>
            <a:gd name="connsiteY2" fmla="*/ 314549 h 323186"/>
            <a:gd name="connsiteX0" fmla="*/ 247422 w 252967"/>
            <a:gd name="connsiteY0" fmla="*/ 78716 h 345013"/>
            <a:gd name="connsiteX1" fmla="*/ 3256 w 252967"/>
            <a:gd name="connsiteY1" fmla="*/ 24891 h 345013"/>
            <a:gd name="connsiteX2" fmla="*/ 87570 w 252967"/>
            <a:gd name="connsiteY2" fmla="*/ 336771 h 345013"/>
            <a:gd name="connsiteX0" fmla="*/ 159852 w 170029"/>
            <a:gd name="connsiteY0" fmla="*/ 43827 h 312065"/>
            <a:gd name="connsiteX1" fmla="*/ 51561 w 170029"/>
            <a:gd name="connsiteY1" fmla="*/ 62479 h 312065"/>
            <a:gd name="connsiteX2" fmla="*/ 0 w 170029"/>
            <a:gd name="connsiteY2" fmla="*/ 301882 h 312065"/>
            <a:gd name="connsiteX0" fmla="*/ 159852 w 170029"/>
            <a:gd name="connsiteY0" fmla="*/ 43827 h 301882"/>
            <a:gd name="connsiteX1" fmla="*/ 51561 w 170029"/>
            <a:gd name="connsiteY1" fmla="*/ 62479 h 301882"/>
            <a:gd name="connsiteX2" fmla="*/ 0 w 170029"/>
            <a:gd name="connsiteY2" fmla="*/ 301882 h 301882"/>
            <a:gd name="connsiteX0" fmla="*/ 207808 w 218474"/>
            <a:gd name="connsiteY0" fmla="*/ 42957 h 280305"/>
            <a:gd name="connsiteX1" fmla="*/ 99517 w 218474"/>
            <a:gd name="connsiteY1" fmla="*/ 61609 h 280305"/>
            <a:gd name="connsiteX2" fmla="*/ 0 w 218474"/>
            <a:gd name="connsiteY2" fmla="*/ 280304 h 280305"/>
            <a:gd name="connsiteX0" fmla="*/ 207808 w 218474"/>
            <a:gd name="connsiteY0" fmla="*/ 34403 h 313166"/>
            <a:gd name="connsiteX1" fmla="*/ 99517 w 218474"/>
            <a:gd name="connsiteY1" fmla="*/ 94471 h 313166"/>
            <a:gd name="connsiteX2" fmla="*/ 0 w 218474"/>
            <a:gd name="connsiteY2" fmla="*/ 313166 h 313166"/>
            <a:gd name="connsiteX0" fmla="*/ 215801 w 226028"/>
            <a:gd name="connsiteY0" fmla="*/ 101624 h 225078"/>
            <a:gd name="connsiteX1" fmla="*/ 99517 w 226028"/>
            <a:gd name="connsiteY1" fmla="*/ 6383 h 225078"/>
            <a:gd name="connsiteX2" fmla="*/ 0 w 226028"/>
            <a:gd name="connsiteY2" fmla="*/ 225078 h 225078"/>
            <a:gd name="connsiteX0" fmla="*/ 231786 w 241235"/>
            <a:gd name="connsiteY0" fmla="*/ 915639 h 915639"/>
            <a:gd name="connsiteX1" fmla="*/ 99517 w 241235"/>
            <a:gd name="connsiteY1" fmla="*/ 33502 h 915639"/>
            <a:gd name="connsiteX2" fmla="*/ 0 w 241235"/>
            <a:gd name="connsiteY2" fmla="*/ 252197 h 915639"/>
            <a:gd name="connsiteX0" fmla="*/ 231786 w 291831"/>
            <a:gd name="connsiteY0" fmla="*/ 716898 h 716898"/>
            <a:gd name="connsiteX1" fmla="*/ 275355 w 291831"/>
            <a:gd name="connsiteY1" fmla="*/ 197148 h 716898"/>
            <a:gd name="connsiteX2" fmla="*/ 0 w 291831"/>
            <a:gd name="connsiteY2" fmla="*/ 53456 h 716898"/>
            <a:gd name="connsiteX0" fmla="*/ 231786 w 291831"/>
            <a:gd name="connsiteY0" fmla="*/ 664415 h 664415"/>
            <a:gd name="connsiteX1" fmla="*/ 275355 w 291831"/>
            <a:gd name="connsiteY1" fmla="*/ 144665 h 664415"/>
            <a:gd name="connsiteX2" fmla="*/ 0 w 291831"/>
            <a:gd name="connsiteY2" fmla="*/ 973 h 664415"/>
            <a:gd name="connsiteX0" fmla="*/ 207808 w 266093"/>
            <a:gd name="connsiteY0" fmla="*/ 597990 h 597990"/>
            <a:gd name="connsiteX1" fmla="*/ 251377 w 266093"/>
            <a:gd name="connsiteY1" fmla="*/ 78240 h 597990"/>
            <a:gd name="connsiteX2" fmla="*/ 0 w 266093"/>
            <a:gd name="connsiteY2" fmla="*/ 7025 h 597990"/>
            <a:gd name="connsiteX0" fmla="*/ 207808 w 307835"/>
            <a:gd name="connsiteY0" fmla="*/ 591647 h 591647"/>
            <a:gd name="connsiteX1" fmla="*/ 299333 w 307835"/>
            <a:gd name="connsiteY1" fmla="*/ 154729 h 591647"/>
            <a:gd name="connsiteX2" fmla="*/ 0 w 307835"/>
            <a:gd name="connsiteY2" fmla="*/ 682 h 591647"/>
            <a:gd name="connsiteX0" fmla="*/ 207808 w 222715"/>
            <a:gd name="connsiteY0" fmla="*/ 591518 h 591518"/>
            <a:gd name="connsiteX1" fmla="*/ 144634 w 222715"/>
            <a:gd name="connsiteY1" fmla="*/ 171626 h 591518"/>
            <a:gd name="connsiteX2" fmla="*/ 0 w 222715"/>
            <a:gd name="connsiteY2" fmla="*/ 553 h 591518"/>
            <a:gd name="connsiteX0" fmla="*/ 207808 w 222715"/>
            <a:gd name="connsiteY0" fmla="*/ 591099 h 591099"/>
            <a:gd name="connsiteX1" fmla="*/ 144634 w 222715"/>
            <a:gd name="connsiteY1" fmla="*/ 171207 h 591099"/>
            <a:gd name="connsiteX2" fmla="*/ 0 w 222715"/>
            <a:gd name="connsiteY2" fmla="*/ 134 h 591099"/>
            <a:gd name="connsiteX0" fmla="*/ 207808 w 208015"/>
            <a:gd name="connsiteY0" fmla="*/ 591099 h 591099"/>
            <a:gd name="connsiteX1" fmla="*/ 144634 w 208015"/>
            <a:gd name="connsiteY1" fmla="*/ 171207 h 591099"/>
            <a:gd name="connsiteX2" fmla="*/ 0 w 208015"/>
            <a:gd name="connsiteY2" fmla="*/ 134 h 591099"/>
            <a:gd name="connsiteX0" fmla="*/ 207808 w 207810"/>
            <a:gd name="connsiteY0" fmla="*/ 590965 h 590965"/>
            <a:gd name="connsiteX1" fmla="*/ 0 w 207810"/>
            <a:gd name="connsiteY1" fmla="*/ 0 h 590965"/>
            <a:gd name="connsiteX0" fmla="*/ 0 w 1123268"/>
            <a:gd name="connsiteY0" fmla="*/ 588248 h 588248"/>
            <a:gd name="connsiteX1" fmla="*/ 1123268 w 1123268"/>
            <a:gd name="connsiteY1" fmla="*/ 0 h 588248"/>
            <a:gd name="connsiteX0" fmla="*/ 0 w 1123268"/>
            <a:gd name="connsiteY0" fmla="*/ 588248 h 588248"/>
            <a:gd name="connsiteX1" fmla="*/ 966025 w 1123268"/>
            <a:gd name="connsiteY1" fmla="*/ 368759 h 588248"/>
            <a:gd name="connsiteX2" fmla="*/ 1123268 w 1123268"/>
            <a:gd name="connsiteY2" fmla="*/ 0 h 588248"/>
            <a:gd name="connsiteX0" fmla="*/ 0 w 1123268"/>
            <a:gd name="connsiteY0" fmla="*/ 588248 h 588248"/>
            <a:gd name="connsiteX1" fmla="*/ 966025 w 1123268"/>
            <a:gd name="connsiteY1" fmla="*/ 368759 h 588248"/>
            <a:gd name="connsiteX2" fmla="*/ 1123268 w 1123268"/>
            <a:gd name="connsiteY2" fmla="*/ 0 h 588248"/>
            <a:gd name="connsiteX0" fmla="*/ 0 w 1123268"/>
            <a:gd name="connsiteY0" fmla="*/ 588248 h 588248"/>
            <a:gd name="connsiteX1" fmla="*/ 966025 w 1123268"/>
            <a:gd name="connsiteY1" fmla="*/ 368759 h 588248"/>
            <a:gd name="connsiteX2" fmla="*/ 1123268 w 1123268"/>
            <a:gd name="connsiteY2" fmla="*/ 0 h 588248"/>
            <a:gd name="connsiteX0" fmla="*/ 0 w 1123268"/>
            <a:gd name="connsiteY0" fmla="*/ 588248 h 588248"/>
            <a:gd name="connsiteX1" fmla="*/ 966025 w 1123268"/>
            <a:gd name="connsiteY1" fmla="*/ 368759 h 588248"/>
            <a:gd name="connsiteX2" fmla="*/ 1123268 w 1123268"/>
            <a:gd name="connsiteY2" fmla="*/ 0 h 588248"/>
            <a:gd name="connsiteX0" fmla="*/ 0 w 1123268"/>
            <a:gd name="connsiteY0" fmla="*/ 588248 h 588248"/>
            <a:gd name="connsiteX1" fmla="*/ 966025 w 1123268"/>
            <a:gd name="connsiteY1" fmla="*/ 368759 h 588248"/>
            <a:gd name="connsiteX2" fmla="*/ 1123268 w 1123268"/>
            <a:gd name="connsiteY2" fmla="*/ 0 h 588248"/>
            <a:gd name="connsiteX0" fmla="*/ 0 w 1123268"/>
            <a:gd name="connsiteY0" fmla="*/ 588248 h 588248"/>
            <a:gd name="connsiteX1" fmla="*/ 966025 w 1123268"/>
            <a:gd name="connsiteY1" fmla="*/ 368759 h 588248"/>
            <a:gd name="connsiteX2" fmla="*/ 1123268 w 1123268"/>
            <a:gd name="connsiteY2" fmla="*/ 0 h 588248"/>
          </a:gdLst>
          <a:ahLst/>
          <a:cxnLst>
            <a:cxn ang="0">
              <a:pos x="connsiteX0" y="connsiteY0"/>
            </a:cxn>
            <a:cxn ang="0">
              <a:pos x="connsiteX1" y="connsiteY1"/>
            </a:cxn>
            <a:cxn ang="0">
              <a:pos x="connsiteX2" y="connsiteY2"/>
            </a:cxn>
          </a:cxnLst>
          <a:rect l="l" t="t" r="r" b="b"/>
          <a:pathLst>
            <a:path w="1123268" h="588248">
              <a:moveTo>
                <a:pt x="0" y="588248"/>
              </a:moveTo>
              <a:cubicBezTo>
                <a:pt x="698626" y="519612"/>
                <a:pt x="913611" y="491679"/>
                <a:pt x="966025" y="368759"/>
              </a:cubicBezTo>
              <a:lnTo>
                <a:pt x="1123268" y="0"/>
              </a:lnTo>
            </a:path>
          </a:pathLst>
        </a:custGeom>
        <a:noFill/>
        <a:ln>
          <a:headEnd type="none"/>
          <a:tailEnd type="arrow" w="sm"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0</xdr:colOff>
      <xdr:row>37</xdr:row>
      <xdr:rowOff>59951</xdr:rowOff>
    </xdr:from>
    <xdr:to>
      <xdr:col>5</xdr:col>
      <xdr:colOff>44822</xdr:colOff>
      <xdr:row>52</xdr:row>
      <xdr:rowOff>32497</xdr:rowOff>
    </xdr:to>
    <xdr:graphicFrame macro="">
      <xdr:nvGraphicFramePr>
        <xdr:cNvPr id="169" name="Chart 168">
          <a:extLst>
            <a:ext uri="{FF2B5EF4-FFF2-40B4-BE49-F238E27FC236}">
              <a16:creationId xmlns:a16="http://schemas.microsoft.com/office/drawing/2014/main" id="{7D91177A-37A5-4F83-A287-3867F6CC8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581024</xdr:colOff>
      <xdr:row>11</xdr:row>
      <xdr:rowOff>19050</xdr:rowOff>
    </xdr:from>
    <xdr:to>
      <xdr:col>14</xdr:col>
      <xdr:colOff>33130</xdr:colOff>
      <xdr:row>14</xdr:row>
      <xdr:rowOff>132522</xdr:rowOff>
    </xdr:to>
    <xdr:sp macro="" textlink="">
      <xdr:nvSpPr>
        <xdr:cNvPr id="166" name="Freeform: Shape 165">
          <a:extLst>
            <a:ext uri="{FF2B5EF4-FFF2-40B4-BE49-F238E27FC236}">
              <a16:creationId xmlns:a16="http://schemas.microsoft.com/office/drawing/2014/main" id="{ABA0F305-E1F2-4884-A837-D341D9F468FB}"/>
            </a:ext>
          </a:extLst>
        </xdr:cNvPr>
        <xdr:cNvSpPr/>
      </xdr:nvSpPr>
      <xdr:spPr>
        <a:xfrm flipV="1">
          <a:off x="7695785" y="1642441"/>
          <a:ext cx="263802" cy="660124"/>
        </a:xfrm>
        <a:custGeom>
          <a:avLst/>
          <a:gdLst>
            <a:gd name="connsiteX0" fmla="*/ 57150 w 195960"/>
            <a:gd name="connsiteY0" fmla="*/ 657263 h 657263"/>
            <a:gd name="connsiteX1" fmla="*/ 171450 w 195960"/>
            <a:gd name="connsiteY1" fmla="*/ 381038 h 657263"/>
            <a:gd name="connsiteX2" fmla="*/ 180975 w 195960"/>
            <a:gd name="connsiteY2" fmla="*/ 47663 h 657263"/>
            <a:gd name="connsiteX3" fmla="*/ 0 w 195960"/>
            <a:gd name="connsiteY3" fmla="*/ 9563 h 657263"/>
            <a:gd name="connsiteX0" fmla="*/ 0 w 198720"/>
            <a:gd name="connsiteY0" fmla="*/ 714413 h 714413"/>
            <a:gd name="connsiteX1" fmla="*/ 171450 w 198720"/>
            <a:gd name="connsiteY1" fmla="*/ 381038 h 714413"/>
            <a:gd name="connsiteX2" fmla="*/ 180975 w 198720"/>
            <a:gd name="connsiteY2" fmla="*/ 47663 h 714413"/>
            <a:gd name="connsiteX3" fmla="*/ 0 w 198720"/>
            <a:gd name="connsiteY3" fmla="*/ 9563 h 714413"/>
            <a:gd name="connsiteX0" fmla="*/ 71933 w 195324"/>
            <a:gd name="connsiteY0" fmla="*/ 683352 h 683352"/>
            <a:gd name="connsiteX1" fmla="*/ 171450 w 195324"/>
            <a:gd name="connsiteY1" fmla="*/ 381038 h 683352"/>
            <a:gd name="connsiteX2" fmla="*/ 180975 w 195324"/>
            <a:gd name="connsiteY2" fmla="*/ 47663 h 683352"/>
            <a:gd name="connsiteX3" fmla="*/ 0 w 195324"/>
            <a:gd name="connsiteY3" fmla="*/ 9563 h 683352"/>
            <a:gd name="connsiteX0" fmla="*/ 71933 w 172089"/>
            <a:gd name="connsiteY0" fmla="*/ 674488 h 674488"/>
            <a:gd name="connsiteX1" fmla="*/ 171450 w 172089"/>
            <a:gd name="connsiteY1" fmla="*/ 372174 h 674488"/>
            <a:gd name="connsiteX2" fmla="*/ 109042 w 172089"/>
            <a:gd name="connsiteY2" fmla="*/ 194107 h 674488"/>
            <a:gd name="connsiteX3" fmla="*/ 0 w 172089"/>
            <a:gd name="connsiteY3" fmla="*/ 699 h 674488"/>
            <a:gd name="connsiteX0" fmla="*/ 111896 w 212157"/>
            <a:gd name="connsiteY0" fmla="*/ 541755 h 541755"/>
            <a:gd name="connsiteX1" fmla="*/ 211413 w 212157"/>
            <a:gd name="connsiteY1" fmla="*/ 239441 h 541755"/>
            <a:gd name="connsiteX2" fmla="*/ 149005 w 212157"/>
            <a:gd name="connsiteY2" fmla="*/ 61374 h 541755"/>
            <a:gd name="connsiteX3" fmla="*/ 0 w 212157"/>
            <a:gd name="connsiteY3" fmla="*/ 2565 h 541755"/>
            <a:gd name="connsiteX0" fmla="*/ 71933 w 172089"/>
            <a:gd name="connsiteY0" fmla="*/ 612721 h 612721"/>
            <a:gd name="connsiteX1" fmla="*/ 171450 w 172089"/>
            <a:gd name="connsiteY1" fmla="*/ 310407 h 612721"/>
            <a:gd name="connsiteX2" fmla="*/ 109042 w 172089"/>
            <a:gd name="connsiteY2" fmla="*/ 132340 h 612721"/>
            <a:gd name="connsiteX3" fmla="*/ 0 w 172089"/>
            <a:gd name="connsiteY3" fmla="*/ 1055 h 612721"/>
            <a:gd name="connsiteX0" fmla="*/ 71933 w 172089"/>
            <a:gd name="connsiteY0" fmla="*/ 611666 h 611666"/>
            <a:gd name="connsiteX1" fmla="*/ 171450 w 172089"/>
            <a:gd name="connsiteY1" fmla="*/ 309352 h 611666"/>
            <a:gd name="connsiteX2" fmla="*/ 109042 w 172089"/>
            <a:gd name="connsiteY2" fmla="*/ 131285 h 611666"/>
            <a:gd name="connsiteX3" fmla="*/ 0 w 172089"/>
            <a:gd name="connsiteY3" fmla="*/ 0 h 611666"/>
            <a:gd name="connsiteX0" fmla="*/ 71933 w 171616"/>
            <a:gd name="connsiteY0" fmla="*/ 611666 h 611666"/>
            <a:gd name="connsiteX1" fmla="*/ 171450 w 171616"/>
            <a:gd name="connsiteY1" fmla="*/ 309352 h 611666"/>
            <a:gd name="connsiteX2" fmla="*/ 93057 w 171616"/>
            <a:gd name="connsiteY2" fmla="*/ 172701 h 611666"/>
            <a:gd name="connsiteX3" fmla="*/ 0 w 171616"/>
            <a:gd name="connsiteY3" fmla="*/ 0 h 611666"/>
            <a:gd name="connsiteX0" fmla="*/ 71933 w 172904"/>
            <a:gd name="connsiteY0" fmla="*/ 611666 h 611666"/>
            <a:gd name="connsiteX1" fmla="*/ 171450 w 172904"/>
            <a:gd name="connsiteY1" fmla="*/ 309352 h 611666"/>
            <a:gd name="connsiteX2" fmla="*/ 0 w 172904"/>
            <a:gd name="connsiteY2" fmla="*/ 0 h 611666"/>
            <a:gd name="connsiteX0" fmla="*/ 279741 w 291225"/>
            <a:gd name="connsiteY0" fmla="*/ 383882 h 383882"/>
            <a:gd name="connsiteX1" fmla="*/ 171450 w 291225"/>
            <a:gd name="connsiteY1" fmla="*/ 309352 h 383882"/>
            <a:gd name="connsiteX2" fmla="*/ 0 w 291225"/>
            <a:gd name="connsiteY2" fmla="*/ 0 h 383882"/>
            <a:gd name="connsiteX0" fmla="*/ 279741 w 291882"/>
            <a:gd name="connsiteY0" fmla="*/ 383882 h 586498"/>
            <a:gd name="connsiteX1" fmla="*/ 179442 w 291882"/>
            <a:gd name="connsiteY1" fmla="*/ 578551 h 586498"/>
            <a:gd name="connsiteX2" fmla="*/ 0 w 291882"/>
            <a:gd name="connsiteY2" fmla="*/ 0 h 586498"/>
            <a:gd name="connsiteX0" fmla="*/ 287734 w 299984"/>
            <a:gd name="connsiteY0" fmla="*/ 17180 h 212422"/>
            <a:gd name="connsiteX1" fmla="*/ 187435 w 299984"/>
            <a:gd name="connsiteY1" fmla="*/ 211849 h 212422"/>
            <a:gd name="connsiteX2" fmla="*/ 0 w 299984"/>
            <a:gd name="connsiteY2" fmla="*/ 68159 h 212422"/>
            <a:gd name="connsiteX0" fmla="*/ 287734 w 299984"/>
            <a:gd name="connsiteY0" fmla="*/ 19608 h 173868"/>
            <a:gd name="connsiteX1" fmla="*/ 187435 w 299984"/>
            <a:gd name="connsiteY1" fmla="*/ 172862 h 173868"/>
            <a:gd name="connsiteX2" fmla="*/ 0 w 299984"/>
            <a:gd name="connsiteY2" fmla="*/ 70587 h 173868"/>
            <a:gd name="connsiteX0" fmla="*/ 167844 w 206214"/>
            <a:gd name="connsiteY0" fmla="*/ 19608 h 173867"/>
            <a:gd name="connsiteX1" fmla="*/ 187435 w 206214"/>
            <a:gd name="connsiteY1" fmla="*/ 172862 h 173867"/>
            <a:gd name="connsiteX2" fmla="*/ 0 w 206214"/>
            <a:gd name="connsiteY2" fmla="*/ 70587 h 173867"/>
            <a:gd name="connsiteX0" fmla="*/ 209206 w 215644"/>
            <a:gd name="connsiteY0" fmla="*/ 364626 h 421656"/>
            <a:gd name="connsiteX1" fmla="*/ 5004 w 215644"/>
            <a:gd name="connsiteY1" fmla="*/ 185 h 421656"/>
            <a:gd name="connsiteX2" fmla="*/ 41362 w 215644"/>
            <a:gd name="connsiteY2" fmla="*/ 415605 h 421656"/>
            <a:gd name="connsiteX0" fmla="*/ 217586 w 223860"/>
            <a:gd name="connsiteY0" fmla="*/ 74324 h 463384"/>
            <a:gd name="connsiteX1" fmla="*/ 5391 w 223860"/>
            <a:gd name="connsiteY1" fmla="*/ 41207 h 463384"/>
            <a:gd name="connsiteX2" fmla="*/ 41749 w 223860"/>
            <a:gd name="connsiteY2" fmla="*/ 456627 h 463384"/>
            <a:gd name="connsiteX0" fmla="*/ 319705 w 326583"/>
            <a:gd name="connsiteY0" fmla="*/ 63016 h 289307"/>
            <a:gd name="connsiteX1" fmla="*/ 107510 w 326583"/>
            <a:gd name="connsiteY1" fmla="*/ 29899 h 289307"/>
            <a:gd name="connsiteX2" fmla="*/ 0 w 326583"/>
            <a:gd name="connsiteY2" fmla="*/ 279657 h 289307"/>
            <a:gd name="connsiteX0" fmla="*/ 347905 w 352497"/>
            <a:gd name="connsiteY0" fmla="*/ 82994 h 308442"/>
            <a:gd name="connsiteX1" fmla="*/ 15820 w 352497"/>
            <a:gd name="connsiteY1" fmla="*/ 18815 h 308442"/>
            <a:gd name="connsiteX2" fmla="*/ 28200 w 352497"/>
            <a:gd name="connsiteY2" fmla="*/ 299635 h 308442"/>
            <a:gd name="connsiteX0" fmla="*/ 319705 w 325777"/>
            <a:gd name="connsiteY0" fmla="*/ 75689 h 301402"/>
            <a:gd name="connsiteX1" fmla="*/ 75539 w 325777"/>
            <a:gd name="connsiteY1" fmla="*/ 21864 h 301402"/>
            <a:gd name="connsiteX2" fmla="*/ 0 w 325777"/>
            <a:gd name="connsiteY2" fmla="*/ 292330 h 301402"/>
            <a:gd name="connsiteX0" fmla="*/ 258958 w 264810"/>
            <a:gd name="connsiteY0" fmla="*/ 77201 h 323186"/>
            <a:gd name="connsiteX1" fmla="*/ 14792 w 264810"/>
            <a:gd name="connsiteY1" fmla="*/ 23376 h 323186"/>
            <a:gd name="connsiteX2" fmla="*/ 3194 w 264810"/>
            <a:gd name="connsiteY2" fmla="*/ 314549 h 323186"/>
            <a:gd name="connsiteX0" fmla="*/ 247422 w 252967"/>
            <a:gd name="connsiteY0" fmla="*/ 78716 h 345013"/>
            <a:gd name="connsiteX1" fmla="*/ 3256 w 252967"/>
            <a:gd name="connsiteY1" fmla="*/ 24891 h 345013"/>
            <a:gd name="connsiteX2" fmla="*/ 87570 w 252967"/>
            <a:gd name="connsiteY2" fmla="*/ 336771 h 345013"/>
            <a:gd name="connsiteX0" fmla="*/ 159852 w 170029"/>
            <a:gd name="connsiteY0" fmla="*/ 43827 h 312065"/>
            <a:gd name="connsiteX1" fmla="*/ 51561 w 170029"/>
            <a:gd name="connsiteY1" fmla="*/ 62479 h 312065"/>
            <a:gd name="connsiteX2" fmla="*/ 0 w 170029"/>
            <a:gd name="connsiteY2" fmla="*/ 301882 h 312065"/>
            <a:gd name="connsiteX0" fmla="*/ 159852 w 170029"/>
            <a:gd name="connsiteY0" fmla="*/ 43827 h 301882"/>
            <a:gd name="connsiteX1" fmla="*/ 51561 w 170029"/>
            <a:gd name="connsiteY1" fmla="*/ 62479 h 301882"/>
            <a:gd name="connsiteX2" fmla="*/ 0 w 170029"/>
            <a:gd name="connsiteY2" fmla="*/ 301882 h 301882"/>
            <a:gd name="connsiteX0" fmla="*/ 207808 w 218474"/>
            <a:gd name="connsiteY0" fmla="*/ 42957 h 280305"/>
            <a:gd name="connsiteX1" fmla="*/ 99517 w 218474"/>
            <a:gd name="connsiteY1" fmla="*/ 61609 h 280305"/>
            <a:gd name="connsiteX2" fmla="*/ 0 w 218474"/>
            <a:gd name="connsiteY2" fmla="*/ 280304 h 280305"/>
            <a:gd name="connsiteX0" fmla="*/ 207808 w 218474"/>
            <a:gd name="connsiteY0" fmla="*/ 34403 h 313166"/>
            <a:gd name="connsiteX1" fmla="*/ 99517 w 218474"/>
            <a:gd name="connsiteY1" fmla="*/ 94471 h 313166"/>
            <a:gd name="connsiteX2" fmla="*/ 0 w 218474"/>
            <a:gd name="connsiteY2" fmla="*/ 313166 h 313166"/>
            <a:gd name="connsiteX0" fmla="*/ 215801 w 226028"/>
            <a:gd name="connsiteY0" fmla="*/ 101624 h 225078"/>
            <a:gd name="connsiteX1" fmla="*/ 99517 w 226028"/>
            <a:gd name="connsiteY1" fmla="*/ 6383 h 225078"/>
            <a:gd name="connsiteX2" fmla="*/ 0 w 226028"/>
            <a:gd name="connsiteY2" fmla="*/ 225078 h 225078"/>
            <a:gd name="connsiteX0" fmla="*/ 231786 w 241235"/>
            <a:gd name="connsiteY0" fmla="*/ 915639 h 915639"/>
            <a:gd name="connsiteX1" fmla="*/ 99517 w 241235"/>
            <a:gd name="connsiteY1" fmla="*/ 33502 h 915639"/>
            <a:gd name="connsiteX2" fmla="*/ 0 w 241235"/>
            <a:gd name="connsiteY2" fmla="*/ 252197 h 915639"/>
            <a:gd name="connsiteX0" fmla="*/ 231786 w 291831"/>
            <a:gd name="connsiteY0" fmla="*/ 716898 h 716898"/>
            <a:gd name="connsiteX1" fmla="*/ 275355 w 291831"/>
            <a:gd name="connsiteY1" fmla="*/ 197148 h 716898"/>
            <a:gd name="connsiteX2" fmla="*/ 0 w 291831"/>
            <a:gd name="connsiteY2" fmla="*/ 53456 h 716898"/>
            <a:gd name="connsiteX0" fmla="*/ 231786 w 291831"/>
            <a:gd name="connsiteY0" fmla="*/ 664415 h 664415"/>
            <a:gd name="connsiteX1" fmla="*/ 275355 w 291831"/>
            <a:gd name="connsiteY1" fmla="*/ 144665 h 664415"/>
            <a:gd name="connsiteX2" fmla="*/ 0 w 291831"/>
            <a:gd name="connsiteY2" fmla="*/ 973 h 664415"/>
            <a:gd name="connsiteX0" fmla="*/ 207808 w 266093"/>
            <a:gd name="connsiteY0" fmla="*/ 597990 h 597990"/>
            <a:gd name="connsiteX1" fmla="*/ 251377 w 266093"/>
            <a:gd name="connsiteY1" fmla="*/ 78240 h 597990"/>
            <a:gd name="connsiteX2" fmla="*/ 0 w 266093"/>
            <a:gd name="connsiteY2" fmla="*/ 7025 h 597990"/>
            <a:gd name="connsiteX0" fmla="*/ 207808 w 307835"/>
            <a:gd name="connsiteY0" fmla="*/ 591647 h 591647"/>
            <a:gd name="connsiteX1" fmla="*/ 299333 w 307835"/>
            <a:gd name="connsiteY1" fmla="*/ 154729 h 591647"/>
            <a:gd name="connsiteX2" fmla="*/ 0 w 307835"/>
            <a:gd name="connsiteY2" fmla="*/ 682 h 591647"/>
            <a:gd name="connsiteX0" fmla="*/ 207808 w 222715"/>
            <a:gd name="connsiteY0" fmla="*/ 591518 h 591518"/>
            <a:gd name="connsiteX1" fmla="*/ 144634 w 222715"/>
            <a:gd name="connsiteY1" fmla="*/ 171626 h 591518"/>
            <a:gd name="connsiteX2" fmla="*/ 0 w 222715"/>
            <a:gd name="connsiteY2" fmla="*/ 553 h 591518"/>
            <a:gd name="connsiteX0" fmla="*/ 207808 w 222715"/>
            <a:gd name="connsiteY0" fmla="*/ 591099 h 591099"/>
            <a:gd name="connsiteX1" fmla="*/ 144634 w 222715"/>
            <a:gd name="connsiteY1" fmla="*/ 171207 h 591099"/>
            <a:gd name="connsiteX2" fmla="*/ 0 w 222715"/>
            <a:gd name="connsiteY2" fmla="*/ 134 h 591099"/>
            <a:gd name="connsiteX0" fmla="*/ 207808 w 208015"/>
            <a:gd name="connsiteY0" fmla="*/ 591099 h 591099"/>
            <a:gd name="connsiteX1" fmla="*/ 144634 w 208015"/>
            <a:gd name="connsiteY1" fmla="*/ 171207 h 591099"/>
            <a:gd name="connsiteX2" fmla="*/ 0 w 208015"/>
            <a:gd name="connsiteY2" fmla="*/ 134 h 591099"/>
            <a:gd name="connsiteX0" fmla="*/ 207808 w 207810"/>
            <a:gd name="connsiteY0" fmla="*/ 590965 h 590965"/>
            <a:gd name="connsiteX1" fmla="*/ 0 w 207810"/>
            <a:gd name="connsiteY1" fmla="*/ 0 h 590965"/>
            <a:gd name="connsiteX0" fmla="*/ 0 w 1123268"/>
            <a:gd name="connsiteY0" fmla="*/ 588248 h 588248"/>
            <a:gd name="connsiteX1" fmla="*/ 1123268 w 1123268"/>
            <a:gd name="connsiteY1" fmla="*/ 0 h 588248"/>
            <a:gd name="connsiteX0" fmla="*/ 0 w 1123268"/>
            <a:gd name="connsiteY0" fmla="*/ 588248 h 588248"/>
            <a:gd name="connsiteX1" fmla="*/ 966025 w 1123268"/>
            <a:gd name="connsiteY1" fmla="*/ 368759 h 588248"/>
            <a:gd name="connsiteX2" fmla="*/ 1123268 w 1123268"/>
            <a:gd name="connsiteY2" fmla="*/ 0 h 588248"/>
            <a:gd name="connsiteX0" fmla="*/ 0 w 1123268"/>
            <a:gd name="connsiteY0" fmla="*/ 588248 h 588248"/>
            <a:gd name="connsiteX1" fmla="*/ 966025 w 1123268"/>
            <a:gd name="connsiteY1" fmla="*/ 368759 h 588248"/>
            <a:gd name="connsiteX2" fmla="*/ 1123268 w 1123268"/>
            <a:gd name="connsiteY2" fmla="*/ 0 h 588248"/>
            <a:gd name="connsiteX0" fmla="*/ 0 w 1123268"/>
            <a:gd name="connsiteY0" fmla="*/ 588248 h 588248"/>
            <a:gd name="connsiteX1" fmla="*/ 966025 w 1123268"/>
            <a:gd name="connsiteY1" fmla="*/ 368759 h 588248"/>
            <a:gd name="connsiteX2" fmla="*/ 1123268 w 1123268"/>
            <a:gd name="connsiteY2" fmla="*/ 0 h 588248"/>
            <a:gd name="connsiteX0" fmla="*/ 0 w 1123268"/>
            <a:gd name="connsiteY0" fmla="*/ 588248 h 588248"/>
            <a:gd name="connsiteX1" fmla="*/ 966025 w 1123268"/>
            <a:gd name="connsiteY1" fmla="*/ 368759 h 588248"/>
            <a:gd name="connsiteX2" fmla="*/ 1123268 w 1123268"/>
            <a:gd name="connsiteY2" fmla="*/ 0 h 588248"/>
            <a:gd name="connsiteX0" fmla="*/ 0 w 1123268"/>
            <a:gd name="connsiteY0" fmla="*/ 588248 h 588248"/>
            <a:gd name="connsiteX1" fmla="*/ 966025 w 1123268"/>
            <a:gd name="connsiteY1" fmla="*/ 368759 h 588248"/>
            <a:gd name="connsiteX2" fmla="*/ 1123268 w 1123268"/>
            <a:gd name="connsiteY2" fmla="*/ 0 h 588248"/>
            <a:gd name="connsiteX0" fmla="*/ 0 w 1123268"/>
            <a:gd name="connsiteY0" fmla="*/ 588248 h 588248"/>
            <a:gd name="connsiteX1" fmla="*/ 966025 w 1123268"/>
            <a:gd name="connsiteY1" fmla="*/ 368759 h 588248"/>
            <a:gd name="connsiteX2" fmla="*/ 1123268 w 1123268"/>
            <a:gd name="connsiteY2" fmla="*/ 0 h 588248"/>
          </a:gdLst>
          <a:ahLst/>
          <a:cxnLst>
            <a:cxn ang="0">
              <a:pos x="connsiteX0" y="connsiteY0"/>
            </a:cxn>
            <a:cxn ang="0">
              <a:pos x="connsiteX1" y="connsiteY1"/>
            </a:cxn>
            <a:cxn ang="0">
              <a:pos x="connsiteX2" y="connsiteY2"/>
            </a:cxn>
          </a:cxnLst>
          <a:rect l="l" t="t" r="r" b="b"/>
          <a:pathLst>
            <a:path w="1123268" h="588248">
              <a:moveTo>
                <a:pt x="0" y="588248"/>
              </a:moveTo>
              <a:cubicBezTo>
                <a:pt x="698626" y="519612"/>
                <a:pt x="913611" y="491679"/>
                <a:pt x="966025" y="368759"/>
              </a:cubicBezTo>
              <a:lnTo>
                <a:pt x="1123268" y="0"/>
              </a:lnTo>
            </a:path>
          </a:pathLst>
        </a:custGeom>
        <a:noFill/>
        <a:ln>
          <a:headEnd type="none"/>
          <a:tailEnd type="arrow" w="sm"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0</xdr:colOff>
      <xdr:row>3</xdr:row>
      <xdr:rowOff>123825</xdr:rowOff>
    </xdr:from>
    <xdr:to>
      <xdr:col>31</xdr:col>
      <xdr:colOff>209550</xdr:colOff>
      <xdr:row>30</xdr:row>
      <xdr:rowOff>76200</xdr:rowOff>
    </xdr:to>
    <xdr:grpSp>
      <xdr:nvGrpSpPr>
        <xdr:cNvPr id="23" name="Group 22">
          <a:extLst>
            <a:ext uri="{FF2B5EF4-FFF2-40B4-BE49-F238E27FC236}">
              <a16:creationId xmlns:a16="http://schemas.microsoft.com/office/drawing/2014/main" id="{7570772C-2DF5-4D86-8766-AB636153EB70}"/>
            </a:ext>
          </a:extLst>
        </xdr:cNvPr>
        <xdr:cNvGrpSpPr/>
      </xdr:nvGrpSpPr>
      <xdr:grpSpPr>
        <a:xfrm>
          <a:off x="4224618" y="538443"/>
          <a:ext cx="10104344" cy="5140698"/>
          <a:chOff x="3315555" y="2362531"/>
          <a:chExt cx="9657244" cy="3356126"/>
        </a:xfrm>
      </xdr:grpSpPr>
      <xdr:grpSp>
        <xdr:nvGrpSpPr>
          <xdr:cNvPr id="24" name="Group 23">
            <a:extLst>
              <a:ext uri="{FF2B5EF4-FFF2-40B4-BE49-F238E27FC236}">
                <a16:creationId xmlns:a16="http://schemas.microsoft.com/office/drawing/2014/main" id="{058B3369-217C-4C48-B750-D854C6E04B3A}"/>
              </a:ext>
            </a:extLst>
          </xdr:cNvPr>
          <xdr:cNvGrpSpPr/>
        </xdr:nvGrpSpPr>
        <xdr:grpSpPr>
          <a:xfrm>
            <a:off x="3315555" y="2608325"/>
            <a:ext cx="9496223" cy="3110332"/>
            <a:chOff x="67497" y="2137884"/>
            <a:chExt cx="10317661" cy="3013558"/>
          </a:xfrm>
        </xdr:grpSpPr>
        <xdr:cxnSp macro="">
          <xdr:nvCxnSpPr>
            <xdr:cNvPr id="26" name="Straight Connector 25">
              <a:extLst>
                <a:ext uri="{FF2B5EF4-FFF2-40B4-BE49-F238E27FC236}">
                  <a16:creationId xmlns:a16="http://schemas.microsoft.com/office/drawing/2014/main" id="{93CA9F87-4F99-49CD-822C-8A04ABAC1335}"/>
                </a:ext>
              </a:extLst>
            </xdr:cNvPr>
            <xdr:cNvCxnSpPr>
              <a:cxnSpLocks/>
              <a:stCxn id="56" idx="0"/>
              <a:endCxn id="27" idx="2"/>
            </xdr:cNvCxnSpPr>
          </xdr:nvCxnSpPr>
          <xdr:spPr>
            <a:xfrm>
              <a:off x="8373144" y="2511050"/>
              <a:ext cx="210" cy="25532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7" name="Trapezoid 26">
              <a:extLst>
                <a:ext uri="{FF2B5EF4-FFF2-40B4-BE49-F238E27FC236}">
                  <a16:creationId xmlns:a16="http://schemas.microsoft.com/office/drawing/2014/main" id="{8F50D279-D683-4FEC-AFB2-A0FA132900A7}"/>
                </a:ext>
              </a:extLst>
            </xdr:cNvPr>
            <xdr:cNvSpPr/>
          </xdr:nvSpPr>
          <xdr:spPr>
            <a:xfrm rot="10800000">
              <a:off x="8354492" y="2766370"/>
              <a:ext cx="37725" cy="78933"/>
            </a:xfrm>
            <a:prstGeom prst="trapezoid">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28" name="Trapezoid 27">
              <a:extLst>
                <a:ext uri="{FF2B5EF4-FFF2-40B4-BE49-F238E27FC236}">
                  <a16:creationId xmlns:a16="http://schemas.microsoft.com/office/drawing/2014/main" id="{2456E43A-8C17-45B3-85D2-2EC4EEE5C879}"/>
                </a:ext>
              </a:extLst>
            </xdr:cNvPr>
            <xdr:cNvSpPr/>
          </xdr:nvSpPr>
          <xdr:spPr>
            <a:xfrm>
              <a:off x="8353609" y="2797511"/>
              <a:ext cx="37725" cy="50117"/>
            </a:xfrm>
            <a:prstGeom prst="trapezoid">
              <a:avLst/>
            </a:prstGeom>
            <a:no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29" name="Trapezoid 28">
              <a:extLst>
                <a:ext uri="{FF2B5EF4-FFF2-40B4-BE49-F238E27FC236}">
                  <a16:creationId xmlns:a16="http://schemas.microsoft.com/office/drawing/2014/main" id="{A4E32B4A-8591-4E5B-8B50-180A943244BB}"/>
                </a:ext>
              </a:extLst>
            </xdr:cNvPr>
            <xdr:cNvSpPr/>
          </xdr:nvSpPr>
          <xdr:spPr>
            <a:xfrm>
              <a:off x="8195501" y="2852860"/>
              <a:ext cx="353940" cy="285461"/>
            </a:xfrm>
            <a:prstGeom prst="trapezoid">
              <a:avLst>
                <a:gd name="adj" fmla="val 139559"/>
              </a:avLst>
            </a:prstGeom>
            <a:gradFill flip="none" rotWithShape="1">
              <a:gsLst>
                <a:gs pos="0">
                  <a:schemeClr val="accent5">
                    <a:lumMod val="75000"/>
                  </a:schemeClr>
                </a:gs>
                <a:gs pos="100000">
                  <a:srgbClr val="00B0F0"/>
                </a:gs>
                <a:gs pos="100000">
                  <a:schemeClr val="accent5">
                    <a:lumMod val="45000"/>
                    <a:lumOff val="55000"/>
                  </a:schemeClr>
                </a:gs>
                <a:gs pos="100000">
                  <a:schemeClr val="accent5">
                    <a:lumMod val="30000"/>
                    <a:lumOff val="7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30" name="Trapezoid 29">
              <a:extLst>
                <a:ext uri="{FF2B5EF4-FFF2-40B4-BE49-F238E27FC236}">
                  <a16:creationId xmlns:a16="http://schemas.microsoft.com/office/drawing/2014/main" id="{5122D9E7-3E9E-4908-B98A-8F65099FE6AA}"/>
                </a:ext>
              </a:extLst>
            </xdr:cNvPr>
            <xdr:cNvSpPr/>
          </xdr:nvSpPr>
          <xdr:spPr>
            <a:xfrm rot="10800000">
              <a:off x="670805" y="4571197"/>
              <a:ext cx="1365812" cy="559722"/>
            </a:xfrm>
            <a:prstGeom prst="trapezoid">
              <a:avLst>
                <a:gd name="adj" fmla="val 21476"/>
              </a:avLst>
            </a:prstGeom>
            <a:gradFill>
              <a:gsLst>
                <a:gs pos="0">
                  <a:schemeClr val="accent5">
                    <a:lumMod val="75000"/>
                  </a:schemeClr>
                </a:gs>
                <a:gs pos="100000">
                  <a:srgbClr val="00B0F0"/>
                </a:gs>
                <a:gs pos="100000">
                  <a:schemeClr val="accent5">
                    <a:lumMod val="45000"/>
                    <a:lumOff val="55000"/>
                  </a:schemeClr>
                </a:gs>
                <a:gs pos="100000">
                  <a:schemeClr val="accent5">
                    <a:lumMod val="30000"/>
                    <a:lumOff val="70000"/>
                  </a:schemeClr>
                </a:gs>
              </a:gsLst>
              <a:lin ang="5400000" scaled="1"/>
            </a:gra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31" name="Rectangle 30">
              <a:extLst>
                <a:ext uri="{FF2B5EF4-FFF2-40B4-BE49-F238E27FC236}">
                  <a16:creationId xmlns:a16="http://schemas.microsoft.com/office/drawing/2014/main" id="{A84CB3C3-E589-4C4F-B5B3-505DB07C2A37}"/>
                </a:ext>
              </a:extLst>
            </xdr:cNvPr>
            <xdr:cNvSpPr/>
          </xdr:nvSpPr>
          <xdr:spPr>
            <a:xfrm>
              <a:off x="1942740" y="4298168"/>
              <a:ext cx="208205" cy="42696"/>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32" name="Rectangle 31">
              <a:extLst>
                <a:ext uri="{FF2B5EF4-FFF2-40B4-BE49-F238E27FC236}">
                  <a16:creationId xmlns:a16="http://schemas.microsoft.com/office/drawing/2014/main" id="{16AF1E90-D672-4C4A-8947-466070E9514E}"/>
                </a:ext>
              </a:extLst>
            </xdr:cNvPr>
            <xdr:cNvSpPr/>
          </xdr:nvSpPr>
          <xdr:spPr>
            <a:xfrm rot="18308854">
              <a:off x="1420331" y="4525857"/>
              <a:ext cx="595414" cy="59442"/>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33" name="Rectangle 32">
              <a:extLst>
                <a:ext uri="{FF2B5EF4-FFF2-40B4-BE49-F238E27FC236}">
                  <a16:creationId xmlns:a16="http://schemas.microsoft.com/office/drawing/2014/main" id="{54436A42-F5C7-47D5-AE1A-9CCBDF6C2E93}"/>
                </a:ext>
              </a:extLst>
            </xdr:cNvPr>
            <xdr:cNvSpPr/>
          </xdr:nvSpPr>
          <xdr:spPr>
            <a:xfrm rot="10800000">
              <a:off x="2213984" y="4109863"/>
              <a:ext cx="1081341" cy="42886"/>
            </a:xfrm>
            <a:prstGeom prst="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34" name="Freeform: Shape 33">
              <a:extLst>
                <a:ext uri="{FF2B5EF4-FFF2-40B4-BE49-F238E27FC236}">
                  <a16:creationId xmlns:a16="http://schemas.microsoft.com/office/drawing/2014/main" id="{29499F04-D8F1-4A40-8A64-DFA316E25384}"/>
                </a:ext>
              </a:extLst>
            </xdr:cNvPr>
            <xdr:cNvSpPr/>
          </xdr:nvSpPr>
          <xdr:spPr>
            <a:xfrm>
              <a:off x="621150" y="3429130"/>
              <a:ext cx="9764008" cy="1722312"/>
            </a:xfrm>
            <a:custGeom>
              <a:avLst/>
              <a:gdLst>
                <a:gd name="connsiteX0" fmla="*/ 0 w 7512627"/>
                <a:gd name="connsiteY0" fmla="*/ 1356033 h 1366423"/>
                <a:gd name="connsiteX1" fmla="*/ 1558636 w 7512627"/>
                <a:gd name="connsiteY1" fmla="*/ 1366423 h 1366423"/>
                <a:gd name="connsiteX2" fmla="*/ 2088573 w 7512627"/>
                <a:gd name="connsiteY2" fmla="*/ 1304078 h 1366423"/>
                <a:gd name="connsiteX3" fmla="*/ 2753591 w 7512627"/>
                <a:gd name="connsiteY3" fmla="*/ 981960 h 1366423"/>
                <a:gd name="connsiteX4" fmla="*/ 3439391 w 7512627"/>
                <a:gd name="connsiteY4" fmla="*/ 296160 h 1366423"/>
                <a:gd name="connsiteX5" fmla="*/ 4572000 w 7512627"/>
                <a:gd name="connsiteY5" fmla="*/ 25996 h 1366423"/>
                <a:gd name="connsiteX6" fmla="*/ 7512627 w 7512627"/>
                <a:gd name="connsiteY6" fmla="*/ 25996 h 1366423"/>
                <a:gd name="connsiteX0" fmla="*/ 0 w 7512627"/>
                <a:gd name="connsiteY0" fmla="*/ 1356033 h 1356033"/>
                <a:gd name="connsiteX1" fmla="*/ 737754 w 7512627"/>
                <a:gd name="connsiteY1" fmla="*/ 1356033 h 1356033"/>
                <a:gd name="connsiteX2" fmla="*/ 2088573 w 7512627"/>
                <a:gd name="connsiteY2" fmla="*/ 1304078 h 1356033"/>
                <a:gd name="connsiteX3" fmla="*/ 2753591 w 7512627"/>
                <a:gd name="connsiteY3" fmla="*/ 981960 h 1356033"/>
                <a:gd name="connsiteX4" fmla="*/ 3439391 w 7512627"/>
                <a:gd name="connsiteY4" fmla="*/ 296160 h 1356033"/>
                <a:gd name="connsiteX5" fmla="*/ 4572000 w 7512627"/>
                <a:gd name="connsiteY5" fmla="*/ 25996 h 1356033"/>
                <a:gd name="connsiteX6" fmla="*/ 7512627 w 7512627"/>
                <a:gd name="connsiteY6" fmla="*/ 25996 h 1356033"/>
                <a:gd name="connsiteX0" fmla="*/ 0 w 7512627"/>
                <a:gd name="connsiteY0" fmla="*/ 1356033 h 1375875"/>
                <a:gd name="connsiteX1" fmla="*/ 737754 w 7512627"/>
                <a:gd name="connsiteY1" fmla="*/ 1356033 h 1375875"/>
                <a:gd name="connsiteX2" fmla="*/ 1652155 w 7512627"/>
                <a:gd name="connsiteY2" fmla="*/ 1345642 h 1375875"/>
                <a:gd name="connsiteX3" fmla="*/ 2753591 w 7512627"/>
                <a:gd name="connsiteY3" fmla="*/ 981960 h 1375875"/>
                <a:gd name="connsiteX4" fmla="*/ 3439391 w 7512627"/>
                <a:gd name="connsiteY4" fmla="*/ 296160 h 1375875"/>
                <a:gd name="connsiteX5" fmla="*/ 4572000 w 7512627"/>
                <a:gd name="connsiteY5" fmla="*/ 25996 h 1375875"/>
                <a:gd name="connsiteX6" fmla="*/ 7512627 w 7512627"/>
                <a:gd name="connsiteY6" fmla="*/ 25996 h 1375875"/>
                <a:gd name="connsiteX0" fmla="*/ 0 w 7512627"/>
                <a:gd name="connsiteY0" fmla="*/ 1356033 h 1359111"/>
                <a:gd name="connsiteX1" fmla="*/ 737754 w 7512627"/>
                <a:gd name="connsiteY1" fmla="*/ 1356033 h 1359111"/>
                <a:gd name="connsiteX2" fmla="*/ 1652155 w 7512627"/>
                <a:gd name="connsiteY2" fmla="*/ 1314469 h 1359111"/>
                <a:gd name="connsiteX3" fmla="*/ 2753591 w 7512627"/>
                <a:gd name="connsiteY3" fmla="*/ 981960 h 1359111"/>
                <a:gd name="connsiteX4" fmla="*/ 3439391 w 7512627"/>
                <a:gd name="connsiteY4" fmla="*/ 296160 h 1359111"/>
                <a:gd name="connsiteX5" fmla="*/ 4572000 w 7512627"/>
                <a:gd name="connsiteY5" fmla="*/ 25996 h 1359111"/>
                <a:gd name="connsiteX6" fmla="*/ 7512627 w 7512627"/>
                <a:gd name="connsiteY6" fmla="*/ 25996 h 1359111"/>
                <a:gd name="connsiteX0" fmla="*/ 0 w 7512627"/>
                <a:gd name="connsiteY0" fmla="*/ 1356033 h 1373730"/>
                <a:gd name="connsiteX1" fmla="*/ 737754 w 7512627"/>
                <a:gd name="connsiteY1" fmla="*/ 1356033 h 1373730"/>
                <a:gd name="connsiteX2" fmla="*/ 1652155 w 7512627"/>
                <a:gd name="connsiteY2" fmla="*/ 1314469 h 1373730"/>
                <a:gd name="connsiteX3" fmla="*/ 2150918 w 7512627"/>
                <a:gd name="connsiteY3" fmla="*/ 711796 h 1373730"/>
                <a:gd name="connsiteX4" fmla="*/ 3439391 w 7512627"/>
                <a:gd name="connsiteY4" fmla="*/ 296160 h 1373730"/>
                <a:gd name="connsiteX5" fmla="*/ 4572000 w 7512627"/>
                <a:gd name="connsiteY5" fmla="*/ 25996 h 1373730"/>
                <a:gd name="connsiteX6" fmla="*/ 7512627 w 7512627"/>
                <a:gd name="connsiteY6" fmla="*/ 25996 h 1373730"/>
                <a:gd name="connsiteX0" fmla="*/ 0 w 7512627"/>
                <a:gd name="connsiteY0" fmla="*/ 1349606 h 1367303"/>
                <a:gd name="connsiteX1" fmla="*/ 737754 w 7512627"/>
                <a:gd name="connsiteY1" fmla="*/ 1349606 h 1367303"/>
                <a:gd name="connsiteX2" fmla="*/ 1652155 w 7512627"/>
                <a:gd name="connsiteY2" fmla="*/ 1308042 h 1367303"/>
                <a:gd name="connsiteX3" fmla="*/ 2150918 w 7512627"/>
                <a:gd name="connsiteY3" fmla="*/ 705369 h 1367303"/>
                <a:gd name="connsiteX4" fmla="*/ 2587336 w 7512627"/>
                <a:gd name="connsiteY4" fmla="*/ 196215 h 1367303"/>
                <a:gd name="connsiteX5" fmla="*/ 4572000 w 7512627"/>
                <a:gd name="connsiteY5" fmla="*/ 19569 h 1367303"/>
                <a:gd name="connsiteX6" fmla="*/ 7512627 w 7512627"/>
                <a:gd name="connsiteY6" fmla="*/ 19569 h 1367303"/>
                <a:gd name="connsiteX0" fmla="*/ 0 w 7512627"/>
                <a:gd name="connsiteY0" fmla="*/ 1333730 h 1351427"/>
                <a:gd name="connsiteX1" fmla="*/ 737754 w 7512627"/>
                <a:gd name="connsiteY1" fmla="*/ 1333730 h 1351427"/>
                <a:gd name="connsiteX2" fmla="*/ 1652155 w 7512627"/>
                <a:gd name="connsiteY2" fmla="*/ 1292166 h 1351427"/>
                <a:gd name="connsiteX3" fmla="*/ 2150918 w 7512627"/>
                <a:gd name="connsiteY3" fmla="*/ 689493 h 1351427"/>
                <a:gd name="connsiteX4" fmla="*/ 2587336 w 7512627"/>
                <a:gd name="connsiteY4" fmla="*/ 180339 h 1351427"/>
                <a:gd name="connsiteX5" fmla="*/ 4540827 w 7512627"/>
                <a:gd name="connsiteY5" fmla="*/ 97211 h 1351427"/>
                <a:gd name="connsiteX6" fmla="*/ 7512627 w 7512627"/>
                <a:gd name="connsiteY6" fmla="*/ 3693 h 1351427"/>
                <a:gd name="connsiteX0" fmla="*/ 0 w 7512627"/>
                <a:gd name="connsiteY0" fmla="*/ 1333730 h 1351427"/>
                <a:gd name="connsiteX1" fmla="*/ 737754 w 7512627"/>
                <a:gd name="connsiteY1" fmla="*/ 1333730 h 1351427"/>
                <a:gd name="connsiteX2" fmla="*/ 1652155 w 7512627"/>
                <a:gd name="connsiteY2" fmla="*/ 1292166 h 1351427"/>
                <a:gd name="connsiteX3" fmla="*/ 2130137 w 7512627"/>
                <a:gd name="connsiteY3" fmla="*/ 689493 h 1351427"/>
                <a:gd name="connsiteX4" fmla="*/ 2587336 w 7512627"/>
                <a:gd name="connsiteY4" fmla="*/ 180339 h 1351427"/>
                <a:gd name="connsiteX5" fmla="*/ 4540827 w 7512627"/>
                <a:gd name="connsiteY5" fmla="*/ 97211 h 1351427"/>
                <a:gd name="connsiteX6" fmla="*/ 7512627 w 7512627"/>
                <a:gd name="connsiteY6" fmla="*/ 3693 h 1351427"/>
                <a:gd name="connsiteX0" fmla="*/ 0 w 7512627"/>
                <a:gd name="connsiteY0" fmla="*/ 1333730 h 1351427"/>
                <a:gd name="connsiteX1" fmla="*/ 737754 w 7512627"/>
                <a:gd name="connsiteY1" fmla="*/ 1333730 h 1351427"/>
                <a:gd name="connsiteX2" fmla="*/ 1652155 w 7512627"/>
                <a:gd name="connsiteY2" fmla="*/ 1292166 h 1351427"/>
                <a:gd name="connsiteX3" fmla="*/ 2130137 w 7512627"/>
                <a:gd name="connsiteY3" fmla="*/ 689493 h 1351427"/>
                <a:gd name="connsiteX4" fmla="*/ 2587336 w 7512627"/>
                <a:gd name="connsiteY4" fmla="*/ 180339 h 1351427"/>
                <a:gd name="connsiteX5" fmla="*/ 4540827 w 7512627"/>
                <a:gd name="connsiteY5" fmla="*/ 97211 h 1351427"/>
                <a:gd name="connsiteX6" fmla="*/ 7512627 w 7512627"/>
                <a:gd name="connsiteY6" fmla="*/ 3693 h 1351427"/>
                <a:gd name="connsiteX0" fmla="*/ 0 w 7668491"/>
                <a:gd name="connsiteY0" fmla="*/ 1266063 h 1283760"/>
                <a:gd name="connsiteX1" fmla="*/ 737754 w 7668491"/>
                <a:gd name="connsiteY1" fmla="*/ 1266063 h 1283760"/>
                <a:gd name="connsiteX2" fmla="*/ 1652155 w 7668491"/>
                <a:gd name="connsiteY2" fmla="*/ 1224499 h 1283760"/>
                <a:gd name="connsiteX3" fmla="*/ 2130137 w 7668491"/>
                <a:gd name="connsiteY3" fmla="*/ 621826 h 1283760"/>
                <a:gd name="connsiteX4" fmla="*/ 2587336 w 7668491"/>
                <a:gd name="connsiteY4" fmla="*/ 112672 h 1283760"/>
                <a:gd name="connsiteX5" fmla="*/ 4540827 w 7668491"/>
                <a:gd name="connsiteY5" fmla="*/ 29544 h 1283760"/>
                <a:gd name="connsiteX6" fmla="*/ 7668491 w 7668491"/>
                <a:gd name="connsiteY6" fmla="*/ 8762 h 1283760"/>
                <a:gd name="connsiteX0" fmla="*/ 0 w 7812005"/>
                <a:gd name="connsiteY0" fmla="*/ 1257301 h 1274998"/>
                <a:gd name="connsiteX1" fmla="*/ 737754 w 7812005"/>
                <a:gd name="connsiteY1" fmla="*/ 1257301 h 1274998"/>
                <a:gd name="connsiteX2" fmla="*/ 1652155 w 7812005"/>
                <a:gd name="connsiteY2" fmla="*/ 1215737 h 1274998"/>
                <a:gd name="connsiteX3" fmla="*/ 2130137 w 7812005"/>
                <a:gd name="connsiteY3" fmla="*/ 613064 h 1274998"/>
                <a:gd name="connsiteX4" fmla="*/ 2587336 w 7812005"/>
                <a:gd name="connsiteY4" fmla="*/ 103910 h 1274998"/>
                <a:gd name="connsiteX5" fmla="*/ 4540827 w 7812005"/>
                <a:gd name="connsiteY5" fmla="*/ 20782 h 1274998"/>
                <a:gd name="connsiteX6" fmla="*/ 7550727 w 7812005"/>
                <a:gd name="connsiteY6" fmla="*/ 281419 h 1274998"/>
                <a:gd name="connsiteX7" fmla="*/ 7668491 w 7812005"/>
                <a:gd name="connsiteY7" fmla="*/ 0 h 1274998"/>
                <a:gd name="connsiteX0" fmla="*/ 0 w 7846898"/>
                <a:gd name="connsiteY0" fmla="*/ 1237275 h 1943856"/>
                <a:gd name="connsiteX1" fmla="*/ 737754 w 7846898"/>
                <a:gd name="connsiteY1" fmla="*/ 1237275 h 1943856"/>
                <a:gd name="connsiteX2" fmla="*/ 1652155 w 7846898"/>
                <a:gd name="connsiteY2" fmla="*/ 1195711 h 1943856"/>
                <a:gd name="connsiteX3" fmla="*/ 2130137 w 7846898"/>
                <a:gd name="connsiteY3" fmla="*/ 593038 h 1943856"/>
                <a:gd name="connsiteX4" fmla="*/ 2587336 w 7846898"/>
                <a:gd name="connsiteY4" fmla="*/ 83884 h 1943856"/>
                <a:gd name="connsiteX5" fmla="*/ 4540827 w 7846898"/>
                <a:gd name="connsiteY5" fmla="*/ 756 h 1943856"/>
                <a:gd name="connsiteX6" fmla="*/ 7550727 w 7846898"/>
                <a:gd name="connsiteY6" fmla="*/ 261393 h 1943856"/>
                <a:gd name="connsiteX7" fmla="*/ 7762009 w 7846898"/>
                <a:gd name="connsiteY7" fmla="*/ 1943856 h 1943856"/>
                <a:gd name="connsiteX0" fmla="*/ 0 w 7891781"/>
                <a:gd name="connsiteY0" fmla="*/ 1266831 h 1973412"/>
                <a:gd name="connsiteX1" fmla="*/ 737754 w 7891781"/>
                <a:gd name="connsiteY1" fmla="*/ 1266831 h 1973412"/>
                <a:gd name="connsiteX2" fmla="*/ 1652155 w 7891781"/>
                <a:gd name="connsiteY2" fmla="*/ 1225267 h 1973412"/>
                <a:gd name="connsiteX3" fmla="*/ 2130137 w 7891781"/>
                <a:gd name="connsiteY3" fmla="*/ 622594 h 1973412"/>
                <a:gd name="connsiteX4" fmla="*/ 2587336 w 7891781"/>
                <a:gd name="connsiteY4" fmla="*/ 113440 h 1973412"/>
                <a:gd name="connsiteX5" fmla="*/ 4540827 w 7891781"/>
                <a:gd name="connsiteY5" fmla="*/ 30312 h 1973412"/>
                <a:gd name="connsiteX6" fmla="*/ 7623464 w 7891781"/>
                <a:gd name="connsiteY6" fmla="*/ 4 h 1973412"/>
                <a:gd name="connsiteX7" fmla="*/ 7762009 w 7891781"/>
                <a:gd name="connsiteY7" fmla="*/ 1973412 h 1973412"/>
                <a:gd name="connsiteX0" fmla="*/ 0 w 7762009"/>
                <a:gd name="connsiteY0" fmla="*/ 1266827 h 1973408"/>
                <a:gd name="connsiteX1" fmla="*/ 737754 w 7762009"/>
                <a:gd name="connsiteY1" fmla="*/ 1266827 h 1973408"/>
                <a:gd name="connsiteX2" fmla="*/ 1652155 w 7762009"/>
                <a:gd name="connsiteY2" fmla="*/ 1225263 h 1973408"/>
                <a:gd name="connsiteX3" fmla="*/ 2130137 w 7762009"/>
                <a:gd name="connsiteY3" fmla="*/ 622590 h 1973408"/>
                <a:gd name="connsiteX4" fmla="*/ 2587336 w 7762009"/>
                <a:gd name="connsiteY4" fmla="*/ 113436 h 1973408"/>
                <a:gd name="connsiteX5" fmla="*/ 4540827 w 7762009"/>
                <a:gd name="connsiteY5" fmla="*/ 30308 h 1973408"/>
                <a:gd name="connsiteX6" fmla="*/ 7623464 w 7762009"/>
                <a:gd name="connsiteY6" fmla="*/ 0 h 1973408"/>
                <a:gd name="connsiteX7" fmla="*/ 7762009 w 7762009"/>
                <a:gd name="connsiteY7" fmla="*/ 1973408 h 1973408"/>
                <a:gd name="connsiteX0" fmla="*/ 0 w 7936844"/>
                <a:gd name="connsiteY0" fmla="*/ 1277218 h 1983799"/>
                <a:gd name="connsiteX1" fmla="*/ 737754 w 7936844"/>
                <a:gd name="connsiteY1" fmla="*/ 1277218 h 1983799"/>
                <a:gd name="connsiteX2" fmla="*/ 1652155 w 7936844"/>
                <a:gd name="connsiteY2" fmla="*/ 1235654 h 1983799"/>
                <a:gd name="connsiteX3" fmla="*/ 2130137 w 7936844"/>
                <a:gd name="connsiteY3" fmla="*/ 632981 h 1983799"/>
                <a:gd name="connsiteX4" fmla="*/ 2587336 w 7936844"/>
                <a:gd name="connsiteY4" fmla="*/ 123827 h 1983799"/>
                <a:gd name="connsiteX5" fmla="*/ 4540827 w 7936844"/>
                <a:gd name="connsiteY5" fmla="*/ 40699 h 1983799"/>
                <a:gd name="connsiteX6" fmla="*/ 7935192 w 7936844"/>
                <a:gd name="connsiteY6" fmla="*/ 0 h 1983799"/>
                <a:gd name="connsiteX7" fmla="*/ 7762009 w 7936844"/>
                <a:gd name="connsiteY7" fmla="*/ 1983799 h 1983799"/>
                <a:gd name="connsiteX0" fmla="*/ 0 w 7959436"/>
                <a:gd name="connsiteY0" fmla="*/ 1277218 h 2004581"/>
                <a:gd name="connsiteX1" fmla="*/ 737754 w 7959436"/>
                <a:gd name="connsiteY1" fmla="*/ 1277218 h 2004581"/>
                <a:gd name="connsiteX2" fmla="*/ 1652155 w 7959436"/>
                <a:gd name="connsiteY2" fmla="*/ 1235654 h 2004581"/>
                <a:gd name="connsiteX3" fmla="*/ 2130137 w 7959436"/>
                <a:gd name="connsiteY3" fmla="*/ 632981 h 2004581"/>
                <a:gd name="connsiteX4" fmla="*/ 2587336 w 7959436"/>
                <a:gd name="connsiteY4" fmla="*/ 123827 h 2004581"/>
                <a:gd name="connsiteX5" fmla="*/ 4540827 w 7959436"/>
                <a:gd name="connsiteY5" fmla="*/ 40699 h 2004581"/>
                <a:gd name="connsiteX6" fmla="*/ 7935192 w 7959436"/>
                <a:gd name="connsiteY6" fmla="*/ 0 h 2004581"/>
                <a:gd name="connsiteX7" fmla="*/ 7959436 w 7959436"/>
                <a:gd name="connsiteY7" fmla="*/ 2004581 h 2004581"/>
                <a:gd name="connsiteX0" fmla="*/ 0 w 8195561"/>
                <a:gd name="connsiteY0" fmla="*/ 1277218 h 2157127"/>
                <a:gd name="connsiteX1" fmla="*/ 737754 w 8195561"/>
                <a:gd name="connsiteY1" fmla="*/ 1277218 h 2157127"/>
                <a:gd name="connsiteX2" fmla="*/ 1652155 w 8195561"/>
                <a:gd name="connsiteY2" fmla="*/ 1235654 h 2157127"/>
                <a:gd name="connsiteX3" fmla="*/ 2130137 w 8195561"/>
                <a:gd name="connsiteY3" fmla="*/ 632981 h 2157127"/>
                <a:gd name="connsiteX4" fmla="*/ 2587336 w 8195561"/>
                <a:gd name="connsiteY4" fmla="*/ 123827 h 2157127"/>
                <a:gd name="connsiteX5" fmla="*/ 4540827 w 8195561"/>
                <a:gd name="connsiteY5" fmla="*/ 40699 h 2157127"/>
                <a:gd name="connsiteX6" fmla="*/ 7935192 w 8195561"/>
                <a:gd name="connsiteY6" fmla="*/ 0 h 2157127"/>
                <a:gd name="connsiteX7" fmla="*/ 7966362 w 8195561"/>
                <a:gd name="connsiteY7" fmla="*/ 2015837 h 2157127"/>
                <a:gd name="connsiteX8" fmla="*/ 7959436 w 8195561"/>
                <a:gd name="connsiteY8" fmla="*/ 2004581 h 2157127"/>
                <a:gd name="connsiteX0" fmla="*/ 1475510 w 9671071"/>
                <a:gd name="connsiteY0" fmla="*/ 1277218 h 2162223"/>
                <a:gd name="connsiteX1" fmla="*/ 2213264 w 9671071"/>
                <a:gd name="connsiteY1" fmla="*/ 1277218 h 2162223"/>
                <a:gd name="connsiteX2" fmla="*/ 3127665 w 9671071"/>
                <a:gd name="connsiteY2" fmla="*/ 1235654 h 2162223"/>
                <a:gd name="connsiteX3" fmla="*/ 3605647 w 9671071"/>
                <a:gd name="connsiteY3" fmla="*/ 632981 h 2162223"/>
                <a:gd name="connsiteX4" fmla="*/ 4062846 w 9671071"/>
                <a:gd name="connsiteY4" fmla="*/ 123827 h 2162223"/>
                <a:gd name="connsiteX5" fmla="*/ 6016337 w 9671071"/>
                <a:gd name="connsiteY5" fmla="*/ 40699 h 2162223"/>
                <a:gd name="connsiteX6" fmla="*/ 9410702 w 9671071"/>
                <a:gd name="connsiteY6" fmla="*/ 0 h 2162223"/>
                <a:gd name="connsiteX7" fmla="*/ 9441872 w 9671071"/>
                <a:gd name="connsiteY7" fmla="*/ 2015837 h 2162223"/>
                <a:gd name="connsiteX8" fmla="*/ 0 w 9671071"/>
                <a:gd name="connsiteY8" fmla="*/ 2025363 h 2162223"/>
                <a:gd name="connsiteX0" fmla="*/ 1475510 w 9671071"/>
                <a:gd name="connsiteY0" fmla="*/ 1277218 h 2162223"/>
                <a:gd name="connsiteX1" fmla="*/ 2213264 w 9671071"/>
                <a:gd name="connsiteY1" fmla="*/ 1277218 h 2162223"/>
                <a:gd name="connsiteX2" fmla="*/ 3127665 w 9671071"/>
                <a:gd name="connsiteY2" fmla="*/ 1235654 h 2162223"/>
                <a:gd name="connsiteX3" fmla="*/ 3605647 w 9671071"/>
                <a:gd name="connsiteY3" fmla="*/ 632981 h 2162223"/>
                <a:gd name="connsiteX4" fmla="*/ 4062846 w 9671071"/>
                <a:gd name="connsiteY4" fmla="*/ 123827 h 2162223"/>
                <a:gd name="connsiteX5" fmla="*/ 6016337 w 9671071"/>
                <a:gd name="connsiteY5" fmla="*/ 40699 h 2162223"/>
                <a:gd name="connsiteX6" fmla="*/ 9410702 w 9671071"/>
                <a:gd name="connsiteY6" fmla="*/ 0 h 2162223"/>
                <a:gd name="connsiteX7" fmla="*/ 9441872 w 9671071"/>
                <a:gd name="connsiteY7" fmla="*/ 2015837 h 2162223"/>
                <a:gd name="connsiteX8" fmla="*/ 0 w 9671071"/>
                <a:gd name="connsiteY8" fmla="*/ 2025363 h 2162223"/>
                <a:gd name="connsiteX0" fmla="*/ 1475510 w 9441873"/>
                <a:gd name="connsiteY0" fmla="*/ 1277218 h 2162223"/>
                <a:gd name="connsiteX1" fmla="*/ 2213264 w 9441873"/>
                <a:gd name="connsiteY1" fmla="*/ 1277218 h 2162223"/>
                <a:gd name="connsiteX2" fmla="*/ 3127665 w 9441873"/>
                <a:gd name="connsiteY2" fmla="*/ 1235654 h 2162223"/>
                <a:gd name="connsiteX3" fmla="*/ 3605647 w 9441873"/>
                <a:gd name="connsiteY3" fmla="*/ 632981 h 2162223"/>
                <a:gd name="connsiteX4" fmla="*/ 4062846 w 9441873"/>
                <a:gd name="connsiteY4" fmla="*/ 123827 h 2162223"/>
                <a:gd name="connsiteX5" fmla="*/ 6016337 w 9441873"/>
                <a:gd name="connsiteY5" fmla="*/ 40699 h 2162223"/>
                <a:gd name="connsiteX6" fmla="*/ 9410702 w 9441873"/>
                <a:gd name="connsiteY6" fmla="*/ 0 h 2162223"/>
                <a:gd name="connsiteX7" fmla="*/ 9441872 w 9441873"/>
                <a:gd name="connsiteY7" fmla="*/ 2015837 h 2162223"/>
                <a:gd name="connsiteX8" fmla="*/ 0 w 9441873"/>
                <a:gd name="connsiteY8" fmla="*/ 2025363 h 2162223"/>
                <a:gd name="connsiteX0" fmla="*/ 1475510 w 9441872"/>
                <a:gd name="connsiteY0" fmla="*/ 1277218 h 2025363"/>
                <a:gd name="connsiteX1" fmla="*/ 2213264 w 9441872"/>
                <a:gd name="connsiteY1" fmla="*/ 1277218 h 2025363"/>
                <a:gd name="connsiteX2" fmla="*/ 3127665 w 9441872"/>
                <a:gd name="connsiteY2" fmla="*/ 1235654 h 2025363"/>
                <a:gd name="connsiteX3" fmla="*/ 3605647 w 9441872"/>
                <a:gd name="connsiteY3" fmla="*/ 632981 h 2025363"/>
                <a:gd name="connsiteX4" fmla="*/ 4062846 w 9441872"/>
                <a:gd name="connsiteY4" fmla="*/ 123827 h 2025363"/>
                <a:gd name="connsiteX5" fmla="*/ 6016337 w 9441872"/>
                <a:gd name="connsiteY5" fmla="*/ 40699 h 2025363"/>
                <a:gd name="connsiteX6" fmla="*/ 9410702 w 9441872"/>
                <a:gd name="connsiteY6" fmla="*/ 0 h 2025363"/>
                <a:gd name="connsiteX7" fmla="*/ 9441872 w 9441872"/>
                <a:gd name="connsiteY7" fmla="*/ 2015837 h 2025363"/>
                <a:gd name="connsiteX8" fmla="*/ 0 w 9441872"/>
                <a:gd name="connsiteY8" fmla="*/ 2025363 h 2025363"/>
                <a:gd name="connsiteX0" fmla="*/ 1475510 w 9480544"/>
                <a:gd name="connsiteY0" fmla="*/ 1298000 h 2046145"/>
                <a:gd name="connsiteX1" fmla="*/ 2213264 w 9480544"/>
                <a:gd name="connsiteY1" fmla="*/ 1298000 h 2046145"/>
                <a:gd name="connsiteX2" fmla="*/ 3127665 w 9480544"/>
                <a:gd name="connsiteY2" fmla="*/ 1256436 h 2046145"/>
                <a:gd name="connsiteX3" fmla="*/ 3605647 w 9480544"/>
                <a:gd name="connsiteY3" fmla="*/ 653763 h 2046145"/>
                <a:gd name="connsiteX4" fmla="*/ 4062846 w 9480544"/>
                <a:gd name="connsiteY4" fmla="*/ 144609 h 2046145"/>
                <a:gd name="connsiteX5" fmla="*/ 6016337 w 9480544"/>
                <a:gd name="connsiteY5" fmla="*/ 61481 h 2046145"/>
                <a:gd name="connsiteX6" fmla="*/ 9473048 w 9480544"/>
                <a:gd name="connsiteY6" fmla="*/ 0 h 2046145"/>
                <a:gd name="connsiteX7" fmla="*/ 9441872 w 9480544"/>
                <a:gd name="connsiteY7" fmla="*/ 2036619 h 2046145"/>
                <a:gd name="connsiteX8" fmla="*/ 0 w 9480544"/>
                <a:gd name="connsiteY8" fmla="*/ 2046145 h 2046145"/>
                <a:gd name="connsiteX0" fmla="*/ 1475510 w 9471220"/>
                <a:gd name="connsiteY0" fmla="*/ 1236519 h 1984664"/>
                <a:gd name="connsiteX1" fmla="*/ 2213264 w 9471220"/>
                <a:gd name="connsiteY1" fmla="*/ 1236519 h 1984664"/>
                <a:gd name="connsiteX2" fmla="*/ 3127665 w 9471220"/>
                <a:gd name="connsiteY2" fmla="*/ 1194955 h 1984664"/>
                <a:gd name="connsiteX3" fmla="*/ 3605647 w 9471220"/>
                <a:gd name="connsiteY3" fmla="*/ 592282 h 1984664"/>
                <a:gd name="connsiteX4" fmla="*/ 4062846 w 9471220"/>
                <a:gd name="connsiteY4" fmla="*/ 83128 h 1984664"/>
                <a:gd name="connsiteX5" fmla="*/ 6016337 w 9471220"/>
                <a:gd name="connsiteY5" fmla="*/ 0 h 1984664"/>
                <a:gd name="connsiteX6" fmla="*/ 9462657 w 9471220"/>
                <a:gd name="connsiteY6" fmla="*/ 864 h 1984664"/>
                <a:gd name="connsiteX7" fmla="*/ 9441872 w 9471220"/>
                <a:gd name="connsiteY7" fmla="*/ 1975138 h 1984664"/>
                <a:gd name="connsiteX8" fmla="*/ 0 w 9471220"/>
                <a:gd name="connsiteY8" fmla="*/ 1984664 h 1984664"/>
                <a:gd name="connsiteX0" fmla="*/ 1475510 w 9477620"/>
                <a:gd name="connsiteY0" fmla="*/ 1236519 h 1984664"/>
                <a:gd name="connsiteX1" fmla="*/ 2213264 w 9477620"/>
                <a:gd name="connsiteY1" fmla="*/ 1236519 h 1984664"/>
                <a:gd name="connsiteX2" fmla="*/ 3127665 w 9477620"/>
                <a:gd name="connsiteY2" fmla="*/ 1194955 h 1984664"/>
                <a:gd name="connsiteX3" fmla="*/ 3605647 w 9477620"/>
                <a:gd name="connsiteY3" fmla="*/ 592282 h 1984664"/>
                <a:gd name="connsiteX4" fmla="*/ 4062846 w 9477620"/>
                <a:gd name="connsiteY4" fmla="*/ 83128 h 1984664"/>
                <a:gd name="connsiteX5" fmla="*/ 6016337 w 9477620"/>
                <a:gd name="connsiteY5" fmla="*/ 0 h 1984664"/>
                <a:gd name="connsiteX6" fmla="*/ 9462657 w 9477620"/>
                <a:gd name="connsiteY6" fmla="*/ 864 h 1984664"/>
                <a:gd name="connsiteX7" fmla="*/ 9473044 w 9477620"/>
                <a:gd name="connsiteY7" fmla="*/ 1975138 h 1984664"/>
                <a:gd name="connsiteX8" fmla="*/ 0 w 9477620"/>
                <a:gd name="connsiteY8" fmla="*/ 1984664 h 1984664"/>
                <a:gd name="connsiteX0" fmla="*/ 1645229 w 9647339"/>
                <a:gd name="connsiteY0" fmla="*/ 1236519 h 1984664"/>
                <a:gd name="connsiteX1" fmla="*/ 2382983 w 9647339"/>
                <a:gd name="connsiteY1" fmla="*/ 1236519 h 1984664"/>
                <a:gd name="connsiteX2" fmla="*/ 3297384 w 9647339"/>
                <a:gd name="connsiteY2" fmla="*/ 1194955 h 1984664"/>
                <a:gd name="connsiteX3" fmla="*/ 3775366 w 9647339"/>
                <a:gd name="connsiteY3" fmla="*/ 592282 h 1984664"/>
                <a:gd name="connsiteX4" fmla="*/ 4232565 w 9647339"/>
                <a:gd name="connsiteY4" fmla="*/ 83128 h 1984664"/>
                <a:gd name="connsiteX5" fmla="*/ 6186056 w 9647339"/>
                <a:gd name="connsiteY5" fmla="*/ 0 h 1984664"/>
                <a:gd name="connsiteX6" fmla="*/ 9632376 w 9647339"/>
                <a:gd name="connsiteY6" fmla="*/ 864 h 1984664"/>
                <a:gd name="connsiteX7" fmla="*/ 9642763 w 9647339"/>
                <a:gd name="connsiteY7" fmla="*/ 1975138 h 1984664"/>
                <a:gd name="connsiteX8" fmla="*/ 0 w 9647339"/>
                <a:gd name="connsiteY8" fmla="*/ 1226992 h 1984664"/>
                <a:gd name="connsiteX9" fmla="*/ 169719 w 9647339"/>
                <a:gd name="connsiteY9" fmla="*/ 1984664 h 1984664"/>
                <a:gd name="connsiteX0" fmla="*/ 1475510 w 9477620"/>
                <a:gd name="connsiteY0" fmla="*/ 1236519 h 1985528"/>
                <a:gd name="connsiteX1" fmla="*/ 2213264 w 9477620"/>
                <a:gd name="connsiteY1" fmla="*/ 1236519 h 1985528"/>
                <a:gd name="connsiteX2" fmla="*/ 3127665 w 9477620"/>
                <a:gd name="connsiteY2" fmla="*/ 1194955 h 1985528"/>
                <a:gd name="connsiteX3" fmla="*/ 3605647 w 9477620"/>
                <a:gd name="connsiteY3" fmla="*/ 592282 h 1985528"/>
                <a:gd name="connsiteX4" fmla="*/ 4062846 w 9477620"/>
                <a:gd name="connsiteY4" fmla="*/ 83128 h 1985528"/>
                <a:gd name="connsiteX5" fmla="*/ 6016337 w 9477620"/>
                <a:gd name="connsiteY5" fmla="*/ 0 h 1985528"/>
                <a:gd name="connsiteX6" fmla="*/ 9462657 w 9477620"/>
                <a:gd name="connsiteY6" fmla="*/ 864 h 1985528"/>
                <a:gd name="connsiteX7" fmla="*/ 9473044 w 9477620"/>
                <a:gd name="connsiteY7" fmla="*/ 1975138 h 1985528"/>
                <a:gd name="connsiteX8" fmla="*/ 370608 w 9477620"/>
                <a:gd name="connsiteY8" fmla="*/ 1985528 h 1985528"/>
                <a:gd name="connsiteX9" fmla="*/ 0 w 9477620"/>
                <a:gd name="connsiteY9" fmla="*/ 1984664 h 1985528"/>
                <a:gd name="connsiteX0" fmla="*/ 1589810 w 9591920"/>
                <a:gd name="connsiteY0" fmla="*/ 1236519 h 1985528"/>
                <a:gd name="connsiteX1" fmla="*/ 2327564 w 9591920"/>
                <a:gd name="connsiteY1" fmla="*/ 1236519 h 1985528"/>
                <a:gd name="connsiteX2" fmla="*/ 3241965 w 9591920"/>
                <a:gd name="connsiteY2" fmla="*/ 1194955 h 1985528"/>
                <a:gd name="connsiteX3" fmla="*/ 3719947 w 9591920"/>
                <a:gd name="connsiteY3" fmla="*/ 592282 h 1985528"/>
                <a:gd name="connsiteX4" fmla="*/ 4177146 w 9591920"/>
                <a:gd name="connsiteY4" fmla="*/ 83128 h 1985528"/>
                <a:gd name="connsiteX5" fmla="*/ 6130637 w 9591920"/>
                <a:gd name="connsiteY5" fmla="*/ 0 h 1985528"/>
                <a:gd name="connsiteX6" fmla="*/ 9576957 w 9591920"/>
                <a:gd name="connsiteY6" fmla="*/ 864 h 1985528"/>
                <a:gd name="connsiteX7" fmla="*/ 9587344 w 9591920"/>
                <a:gd name="connsiteY7" fmla="*/ 1975138 h 1985528"/>
                <a:gd name="connsiteX8" fmla="*/ 484908 w 9591920"/>
                <a:gd name="connsiteY8" fmla="*/ 1985528 h 1985528"/>
                <a:gd name="connsiteX9" fmla="*/ 0 w 9591920"/>
                <a:gd name="connsiteY9" fmla="*/ 1257300 h 1985528"/>
                <a:gd name="connsiteX0" fmla="*/ 1589810 w 9591920"/>
                <a:gd name="connsiteY0" fmla="*/ 1236519 h 1985528"/>
                <a:gd name="connsiteX1" fmla="*/ 2327564 w 9591920"/>
                <a:gd name="connsiteY1" fmla="*/ 1236519 h 1985528"/>
                <a:gd name="connsiteX2" fmla="*/ 3241965 w 9591920"/>
                <a:gd name="connsiteY2" fmla="*/ 1194955 h 1985528"/>
                <a:gd name="connsiteX3" fmla="*/ 3719947 w 9591920"/>
                <a:gd name="connsiteY3" fmla="*/ 592282 h 1985528"/>
                <a:gd name="connsiteX4" fmla="*/ 4177146 w 9591920"/>
                <a:gd name="connsiteY4" fmla="*/ 83128 h 1985528"/>
                <a:gd name="connsiteX5" fmla="*/ 6130637 w 9591920"/>
                <a:gd name="connsiteY5" fmla="*/ 0 h 1985528"/>
                <a:gd name="connsiteX6" fmla="*/ 9576957 w 9591920"/>
                <a:gd name="connsiteY6" fmla="*/ 864 h 1985528"/>
                <a:gd name="connsiteX7" fmla="*/ 9587344 w 9591920"/>
                <a:gd name="connsiteY7" fmla="*/ 1975138 h 1985528"/>
                <a:gd name="connsiteX8" fmla="*/ 204354 w 9591920"/>
                <a:gd name="connsiteY8" fmla="*/ 1985528 h 1985528"/>
                <a:gd name="connsiteX9" fmla="*/ 0 w 9591920"/>
                <a:gd name="connsiteY9" fmla="*/ 1257300 h 1985528"/>
                <a:gd name="connsiteX0" fmla="*/ 1589810 w 9591920"/>
                <a:gd name="connsiteY0" fmla="*/ 1236519 h 1985528"/>
                <a:gd name="connsiteX1" fmla="*/ 2327564 w 9591920"/>
                <a:gd name="connsiteY1" fmla="*/ 1236519 h 1985528"/>
                <a:gd name="connsiteX2" fmla="*/ 3241965 w 9591920"/>
                <a:gd name="connsiteY2" fmla="*/ 1194955 h 1985528"/>
                <a:gd name="connsiteX3" fmla="*/ 3719947 w 9591920"/>
                <a:gd name="connsiteY3" fmla="*/ 592282 h 1985528"/>
                <a:gd name="connsiteX4" fmla="*/ 4177146 w 9591920"/>
                <a:gd name="connsiteY4" fmla="*/ 83128 h 1985528"/>
                <a:gd name="connsiteX5" fmla="*/ 6130637 w 9591920"/>
                <a:gd name="connsiteY5" fmla="*/ 0 h 1985528"/>
                <a:gd name="connsiteX6" fmla="*/ 9576957 w 9591920"/>
                <a:gd name="connsiteY6" fmla="*/ 864 h 1985528"/>
                <a:gd name="connsiteX7" fmla="*/ 9587344 w 9591920"/>
                <a:gd name="connsiteY7" fmla="*/ 1975138 h 1985528"/>
                <a:gd name="connsiteX8" fmla="*/ 204354 w 9591920"/>
                <a:gd name="connsiteY8" fmla="*/ 1985528 h 1985528"/>
                <a:gd name="connsiteX9" fmla="*/ 0 w 9591920"/>
                <a:gd name="connsiteY9" fmla="*/ 1257300 h 1985528"/>
                <a:gd name="connsiteX0" fmla="*/ 1589810 w 9591920"/>
                <a:gd name="connsiteY0" fmla="*/ 1236519 h 1985528"/>
                <a:gd name="connsiteX1" fmla="*/ 2327564 w 9591920"/>
                <a:gd name="connsiteY1" fmla="*/ 1236519 h 1985528"/>
                <a:gd name="connsiteX2" fmla="*/ 3241965 w 9591920"/>
                <a:gd name="connsiteY2" fmla="*/ 1194955 h 1985528"/>
                <a:gd name="connsiteX3" fmla="*/ 3719947 w 9591920"/>
                <a:gd name="connsiteY3" fmla="*/ 592282 h 1985528"/>
                <a:gd name="connsiteX4" fmla="*/ 4177146 w 9591920"/>
                <a:gd name="connsiteY4" fmla="*/ 83128 h 1985528"/>
                <a:gd name="connsiteX5" fmla="*/ 6130637 w 9591920"/>
                <a:gd name="connsiteY5" fmla="*/ 0 h 1985528"/>
                <a:gd name="connsiteX6" fmla="*/ 9576957 w 9591920"/>
                <a:gd name="connsiteY6" fmla="*/ 864 h 1985528"/>
                <a:gd name="connsiteX7" fmla="*/ 9587344 w 9591920"/>
                <a:gd name="connsiteY7" fmla="*/ 1975138 h 1985528"/>
                <a:gd name="connsiteX8" fmla="*/ 204354 w 9591920"/>
                <a:gd name="connsiteY8" fmla="*/ 1985528 h 1985528"/>
                <a:gd name="connsiteX9" fmla="*/ 90054 w 9591920"/>
                <a:gd name="connsiteY9" fmla="*/ 1569892 h 1985528"/>
                <a:gd name="connsiteX10" fmla="*/ 0 w 9591920"/>
                <a:gd name="connsiteY10" fmla="*/ 1257300 h 1985528"/>
                <a:gd name="connsiteX0" fmla="*/ 1589810 w 9591920"/>
                <a:gd name="connsiteY0" fmla="*/ 1236519 h 1985528"/>
                <a:gd name="connsiteX1" fmla="*/ 2327564 w 9591920"/>
                <a:gd name="connsiteY1" fmla="*/ 1236519 h 1985528"/>
                <a:gd name="connsiteX2" fmla="*/ 3241965 w 9591920"/>
                <a:gd name="connsiteY2" fmla="*/ 1194955 h 1985528"/>
                <a:gd name="connsiteX3" fmla="*/ 3719947 w 9591920"/>
                <a:gd name="connsiteY3" fmla="*/ 592282 h 1985528"/>
                <a:gd name="connsiteX4" fmla="*/ 4177146 w 9591920"/>
                <a:gd name="connsiteY4" fmla="*/ 83128 h 1985528"/>
                <a:gd name="connsiteX5" fmla="*/ 6130637 w 9591920"/>
                <a:gd name="connsiteY5" fmla="*/ 0 h 1985528"/>
                <a:gd name="connsiteX6" fmla="*/ 9576957 w 9591920"/>
                <a:gd name="connsiteY6" fmla="*/ 864 h 1985528"/>
                <a:gd name="connsiteX7" fmla="*/ 9587344 w 9591920"/>
                <a:gd name="connsiteY7" fmla="*/ 1975138 h 1985528"/>
                <a:gd name="connsiteX8" fmla="*/ 547254 w 9591920"/>
                <a:gd name="connsiteY8" fmla="*/ 1923182 h 1985528"/>
                <a:gd name="connsiteX9" fmla="*/ 204354 w 9591920"/>
                <a:gd name="connsiteY9" fmla="*/ 1985528 h 1985528"/>
                <a:gd name="connsiteX10" fmla="*/ 90054 w 9591920"/>
                <a:gd name="connsiteY10" fmla="*/ 1569892 h 1985528"/>
                <a:gd name="connsiteX11" fmla="*/ 0 w 9591920"/>
                <a:gd name="connsiteY11" fmla="*/ 1257300 h 1985528"/>
                <a:gd name="connsiteX0" fmla="*/ 1589810 w 9591920"/>
                <a:gd name="connsiteY0" fmla="*/ 1236519 h 1985528"/>
                <a:gd name="connsiteX1" fmla="*/ 2327564 w 9591920"/>
                <a:gd name="connsiteY1" fmla="*/ 1236519 h 1985528"/>
                <a:gd name="connsiteX2" fmla="*/ 3241965 w 9591920"/>
                <a:gd name="connsiteY2" fmla="*/ 1194955 h 1985528"/>
                <a:gd name="connsiteX3" fmla="*/ 3719947 w 9591920"/>
                <a:gd name="connsiteY3" fmla="*/ 592282 h 1985528"/>
                <a:gd name="connsiteX4" fmla="*/ 4177146 w 9591920"/>
                <a:gd name="connsiteY4" fmla="*/ 83128 h 1985528"/>
                <a:gd name="connsiteX5" fmla="*/ 6130637 w 9591920"/>
                <a:gd name="connsiteY5" fmla="*/ 0 h 1985528"/>
                <a:gd name="connsiteX6" fmla="*/ 9576957 w 9591920"/>
                <a:gd name="connsiteY6" fmla="*/ 864 h 1985528"/>
                <a:gd name="connsiteX7" fmla="*/ 9587344 w 9591920"/>
                <a:gd name="connsiteY7" fmla="*/ 1975138 h 1985528"/>
                <a:gd name="connsiteX8" fmla="*/ 1243444 w 9591920"/>
                <a:gd name="connsiteY8" fmla="*/ 1829664 h 1985528"/>
                <a:gd name="connsiteX9" fmla="*/ 547254 w 9591920"/>
                <a:gd name="connsiteY9" fmla="*/ 1923182 h 1985528"/>
                <a:gd name="connsiteX10" fmla="*/ 204354 w 9591920"/>
                <a:gd name="connsiteY10" fmla="*/ 1985528 h 1985528"/>
                <a:gd name="connsiteX11" fmla="*/ 90054 w 9591920"/>
                <a:gd name="connsiteY11" fmla="*/ 1569892 h 1985528"/>
                <a:gd name="connsiteX12" fmla="*/ 0 w 9591920"/>
                <a:gd name="connsiteY12" fmla="*/ 1257300 h 1985528"/>
                <a:gd name="connsiteX0" fmla="*/ 1641764 w 9643874"/>
                <a:gd name="connsiteY0" fmla="*/ 1236519 h 1985528"/>
                <a:gd name="connsiteX1" fmla="*/ 2379518 w 9643874"/>
                <a:gd name="connsiteY1" fmla="*/ 1236519 h 1985528"/>
                <a:gd name="connsiteX2" fmla="*/ 3293919 w 9643874"/>
                <a:gd name="connsiteY2" fmla="*/ 1194955 h 1985528"/>
                <a:gd name="connsiteX3" fmla="*/ 3771901 w 9643874"/>
                <a:gd name="connsiteY3" fmla="*/ 592282 h 1985528"/>
                <a:gd name="connsiteX4" fmla="*/ 4229100 w 9643874"/>
                <a:gd name="connsiteY4" fmla="*/ 83128 h 1985528"/>
                <a:gd name="connsiteX5" fmla="*/ 6182591 w 9643874"/>
                <a:gd name="connsiteY5" fmla="*/ 0 h 1985528"/>
                <a:gd name="connsiteX6" fmla="*/ 9628911 w 9643874"/>
                <a:gd name="connsiteY6" fmla="*/ 864 h 1985528"/>
                <a:gd name="connsiteX7" fmla="*/ 9639298 w 9643874"/>
                <a:gd name="connsiteY7" fmla="*/ 1975138 h 1985528"/>
                <a:gd name="connsiteX8" fmla="*/ 1295398 w 9643874"/>
                <a:gd name="connsiteY8" fmla="*/ 1829664 h 1985528"/>
                <a:gd name="connsiteX9" fmla="*/ 599208 w 9643874"/>
                <a:gd name="connsiteY9" fmla="*/ 1923182 h 1985528"/>
                <a:gd name="connsiteX10" fmla="*/ 256308 w 9643874"/>
                <a:gd name="connsiteY10" fmla="*/ 1985528 h 1985528"/>
                <a:gd name="connsiteX11" fmla="*/ 142008 w 9643874"/>
                <a:gd name="connsiteY11" fmla="*/ 1569892 h 1985528"/>
                <a:gd name="connsiteX12" fmla="*/ 0 w 9643874"/>
                <a:gd name="connsiteY12" fmla="*/ 1350818 h 1985528"/>
                <a:gd name="connsiteX0" fmla="*/ 1499756 w 9501866"/>
                <a:gd name="connsiteY0" fmla="*/ 1236519 h 1985528"/>
                <a:gd name="connsiteX1" fmla="*/ 2237510 w 9501866"/>
                <a:gd name="connsiteY1" fmla="*/ 1236519 h 1985528"/>
                <a:gd name="connsiteX2" fmla="*/ 3151911 w 9501866"/>
                <a:gd name="connsiteY2" fmla="*/ 1194955 h 1985528"/>
                <a:gd name="connsiteX3" fmla="*/ 3629893 w 9501866"/>
                <a:gd name="connsiteY3" fmla="*/ 592282 h 1985528"/>
                <a:gd name="connsiteX4" fmla="*/ 4087092 w 9501866"/>
                <a:gd name="connsiteY4" fmla="*/ 83128 h 1985528"/>
                <a:gd name="connsiteX5" fmla="*/ 6040583 w 9501866"/>
                <a:gd name="connsiteY5" fmla="*/ 0 h 1985528"/>
                <a:gd name="connsiteX6" fmla="*/ 9486903 w 9501866"/>
                <a:gd name="connsiteY6" fmla="*/ 864 h 1985528"/>
                <a:gd name="connsiteX7" fmla="*/ 9497290 w 9501866"/>
                <a:gd name="connsiteY7" fmla="*/ 1975138 h 1985528"/>
                <a:gd name="connsiteX8" fmla="*/ 1153390 w 9501866"/>
                <a:gd name="connsiteY8" fmla="*/ 1829664 h 1985528"/>
                <a:gd name="connsiteX9" fmla="*/ 457200 w 9501866"/>
                <a:gd name="connsiteY9" fmla="*/ 1923182 h 1985528"/>
                <a:gd name="connsiteX10" fmla="*/ 114300 w 9501866"/>
                <a:gd name="connsiteY10" fmla="*/ 1985528 h 1985528"/>
                <a:gd name="connsiteX11" fmla="*/ 0 w 9501866"/>
                <a:gd name="connsiteY11" fmla="*/ 1569892 h 1985528"/>
                <a:gd name="connsiteX12" fmla="*/ 1478974 w 9501866"/>
                <a:gd name="connsiteY12" fmla="*/ 1298864 h 1985528"/>
                <a:gd name="connsiteX0" fmla="*/ 1387084 w 9389194"/>
                <a:gd name="connsiteY0" fmla="*/ 1236519 h 1985528"/>
                <a:gd name="connsiteX1" fmla="*/ 2124838 w 9389194"/>
                <a:gd name="connsiteY1" fmla="*/ 1236519 h 1985528"/>
                <a:gd name="connsiteX2" fmla="*/ 3039239 w 9389194"/>
                <a:gd name="connsiteY2" fmla="*/ 1194955 h 1985528"/>
                <a:gd name="connsiteX3" fmla="*/ 3517221 w 9389194"/>
                <a:gd name="connsiteY3" fmla="*/ 592282 h 1985528"/>
                <a:gd name="connsiteX4" fmla="*/ 3974420 w 9389194"/>
                <a:gd name="connsiteY4" fmla="*/ 83128 h 1985528"/>
                <a:gd name="connsiteX5" fmla="*/ 5927911 w 9389194"/>
                <a:gd name="connsiteY5" fmla="*/ 0 h 1985528"/>
                <a:gd name="connsiteX6" fmla="*/ 9374231 w 9389194"/>
                <a:gd name="connsiteY6" fmla="*/ 864 h 1985528"/>
                <a:gd name="connsiteX7" fmla="*/ 9384618 w 9389194"/>
                <a:gd name="connsiteY7" fmla="*/ 1975138 h 1985528"/>
                <a:gd name="connsiteX8" fmla="*/ 1040718 w 9389194"/>
                <a:gd name="connsiteY8" fmla="*/ 1829664 h 1985528"/>
                <a:gd name="connsiteX9" fmla="*/ 344528 w 9389194"/>
                <a:gd name="connsiteY9" fmla="*/ 1923182 h 1985528"/>
                <a:gd name="connsiteX10" fmla="*/ 1628 w 9389194"/>
                <a:gd name="connsiteY10" fmla="*/ 1985528 h 1985528"/>
                <a:gd name="connsiteX11" fmla="*/ 1269319 w 9389194"/>
                <a:gd name="connsiteY11" fmla="*/ 1611456 h 1985528"/>
                <a:gd name="connsiteX12" fmla="*/ 1366302 w 9389194"/>
                <a:gd name="connsiteY12" fmla="*/ 1298864 h 1985528"/>
                <a:gd name="connsiteX0" fmla="*/ 1387084 w 9389194"/>
                <a:gd name="connsiteY0" fmla="*/ 1236519 h 2099828"/>
                <a:gd name="connsiteX1" fmla="*/ 2124838 w 9389194"/>
                <a:gd name="connsiteY1" fmla="*/ 1236519 h 2099828"/>
                <a:gd name="connsiteX2" fmla="*/ 3039239 w 9389194"/>
                <a:gd name="connsiteY2" fmla="*/ 1194955 h 2099828"/>
                <a:gd name="connsiteX3" fmla="*/ 3517221 w 9389194"/>
                <a:gd name="connsiteY3" fmla="*/ 592282 h 2099828"/>
                <a:gd name="connsiteX4" fmla="*/ 3974420 w 9389194"/>
                <a:gd name="connsiteY4" fmla="*/ 83128 h 2099828"/>
                <a:gd name="connsiteX5" fmla="*/ 5927911 w 9389194"/>
                <a:gd name="connsiteY5" fmla="*/ 0 h 2099828"/>
                <a:gd name="connsiteX6" fmla="*/ 9374231 w 9389194"/>
                <a:gd name="connsiteY6" fmla="*/ 864 h 2099828"/>
                <a:gd name="connsiteX7" fmla="*/ 9384618 w 9389194"/>
                <a:gd name="connsiteY7" fmla="*/ 1975138 h 2099828"/>
                <a:gd name="connsiteX8" fmla="*/ 126318 w 9389194"/>
                <a:gd name="connsiteY8" fmla="*/ 2099828 h 2099828"/>
                <a:gd name="connsiteX9" fmla="*/ 344528 w 9389194"/>
                <a:gd name="connsiteY9" fmla="*/ 1923182 h 2099828"/>
                <a:gd name="connsiteX10" fmla="*/ 1628 w 9389194"/>
                <a:gd name="connsiteY10" fmla="*/ 1985528 h 2099828"/>
                <a:gd name="connsiteX11" fmla="*/ 1269319 w 9389194"/>
                <a:gd name="connsiteY11" fmla="*/ 1611456 h 2099828"/>
                <a:gd name="connsiteX12" fmla="*/ 1366302 w 9389194"/>
                <a:gd name="connsiteY12" fmla="*/ 1298864 h 2099828"/>
                <a:gd name="connsiteX0" fmla="*/ 1573929 w 9576039"/>
                <a:gd name="connsiteY0" fmla="*/ 1236519 h 2099828"/>
                <a:gd name="connsiteX1" fmla="*/ 2311683 w 9576039"/>
                <a:gd name="connsiteY1" fmla="*/ 1236519 h 2099828"/>
                <a:gd name="connsiteX2" fmla="*/ 3226084 w 9576039"/>
                <a:gd name="connsiteY2" fmla="*/ 1194955 h 2099828"/>
                <a:gd name="connsiteX3" fmla="*/ 3704066 w 9576039"/>
                <a:gd name="connsiteY3" fmla="*/ 592282 h 2099828"/>
                <a:gd name="connsiteX4" fmla="*/ 4161265 w 9576039"/>
                <a:gd name="connsiteY4" fmla="*/ 83128 h 2099828"/>
                <a:gd name="connsiteX5" fmla="*/ 6114756 w 9576039"/>
                <a:gd name="connsiteY5" fmla="*/ 0 h 2099828"/>
                <a:gd name="connsiteX6" fmla="*/ 9561076 w 9576039"/>
                <a:gd name="connsiteY6" fmla="*/ 864 h 2099828"/>
                <a:gd name="connsiteX7" fmla="*/ 9571463 w 9576039"/>
                <a:gd name="connsiteY7" fmla="*/ 1975138 h 2099828"/>
                <a:gd name="connsiteX8" fmla="*/ 313163 w 9576039"/>
                <a:gd name="connsiteY8" fmla="*/ 2099828 h 2099828"/>
                <a:gd name="connsiteX9" fmla="*/ 531373 w 9576039"/>
                <a:gd name="connsiteY9" fmla="*/ 1923182 h 2099828"/>
                <a:gd name="connsiteX10" fmla="*/ 1437 w 9576039"/>
                <a:gd name="connsiteY10" fmla="*/ 1320510 h 2099828"/>
                <a:gd name="connsiteX11" fmla="*/ 1456164 w 9576039"/>
                <a:gd name="connsiteY11" fmla="*/ 1611456 h 2099828"/>
                <a:gd name="connsiteX12" fmla="*/ 1553147 w 9576039"/>
                <a:gd name="connsiteY12" fmla="*/ 1298864 h 2099828"/>
                <a:gd name="connsiteX0" fmla="*/ 1573929 w 9576039"/>
                <a:gd name="connsiteY0" fmla="*/ 1236519 h 2099828"/>
                <a:gd name="connsiteX1" fmla="*/ 2311683 w 9576039"/>
                <a:gd name="connsiteY1" fmla="*/ 1236519 h 2099828"/>
                <a:gd name="connsiteX2" fmla="*/ 3226084 w 9576039"/>
                <a:gd name="connsiteY2" fmla="*/ 1194955 h 2099828"/>
                <a:gd name="connsiteX3" fmla="*/ 3704066 w 9576039"/>
                <a:gd name="connsiteY3" fmla="*/ 592282 h 2099828"/>
                <a:gd name="connsiteX4" fmla="*/ 4161265 w 9576039"/>
                <a:gd name="connsiteY4" fmla="*/ 83128 h 2099828"/>
                <a:gd name="connsiteX5" fmla="*/ 6114756 w 9576039"/>
                <a:gd name="connsiteY5" fmla="*/ 0 h 2099828"/>
                <a:gd name="connsiteX6" fmla="*/ 9561076 w 9576039"/>
                <a:gd name="connsiteY6" fmla="*/ 864 h 2099828"/>
                <a:gd name="connsiteX7" fmla="*/ 9571463 w 9576039"/>
                <a:gd name="connsiteY7" fmla="*/ 1975138 h 2099828"/>
                <a:gd name="connsiteX8" fmla="*/ 313163 w 9576039"/>
                <a:gd name="connsiteY8" fmla="*/ 2099828 h 2099828"/>
                <a:gd name="connsiteX9" fmla="*/ 126127 w 9576039"/>
                <a:gd name="connsiteY9" fmla="*/ 1923182 h 2099828"/>
                <a:gd name="connsiteX10" fmla="*/ 1437 w 9576039"/>
                <a:gd name="connsiteY10" fmla="*/ 1320510 h 2099828"/>
                <a:gd name="connsiteX11" fmla="*/ 1456164 w 9576039"/>
                <a:gd name="connsiteY11" fmla="*/ 1611456 h 2099828"/>
                <a:gd name="connsiteX12" fmla="*/ 1553147 w 9576039"/>
                <a:gd name="connsiteY12" fmla="*/ 1298864 h 2099828"/>
                <a:gd name="connsiteX0" fmla="*/ 1459741 w 9461851"/>
                <a:gd name="connsiteY0" fmla="*/ 1236519 h 2099828"/>
                <a:gd name="connsiteX1" fmla="*/ 2197495 w 9461851"/>
                <a:gd name="connsiteY1" fmla="*/ 1236519 h 2099828"/>
                <a:gd name="connsiteX2" fmla="*/ 3111896 w 9461851"/>
                <a:gd name="connsiteY2" fmla="*/ 1194955 h 2099828"/>
                <a:gd name="connsiteX3" fmla="*/ 3589878 w 9461851"/>
                <a:gd name="connsiteY3" fmla="*/ 592282 h 2099828"/>
                <a:gd name="connsiteX4" fmla="*/ 4047077 w 9461851"/>
                <a:gd name="connsiteY4" fmla="*/ 83128 h 2099828"/>
                <a:gd name="connsiteX5" fmla="*/ 6000568 w 9461851"/>
                <a:gd name="connsiteY5" fmla="*/ 0 h 2099828"/>
                <a:gd name="connsiteX6" fmla="*/ 9446888 w 9461851"/>
                <a:gd name="connsiteY6" fmla="*/ 864 h 2099828"/>
                <a:gd name="connsiteX7" fmla="*/ 9457275 w 9461851"/>
                <a:gd name="connsiteY7" fmla="*/ 1975138 h 2099828"/>
                <a:gd name="connsiteX8" fmla="*/ 198975 w 9461851"/>
                <a:gd name="connsiteY8" fmla="*/ 2099828 h 2099828"/>
                <a:gd name="connsiteX9" fmla="*/ 11939 w 9461851"/>
                <a:gd name="connsiteY9" fmla="*/ 1923182 h 2099828"/>
                <a:gd name="connsiteX10" fmla="*/ 1549 w 9461851"/>
                <a:gd name="connsiteY10" fmla="*/ 1278946 h 2099828"/>
                <a:gd name="connsiteX11" fmla="*/ 1341976 w 9461851"/>
                <a:gd name="connsiteY11" fmla="*/ 1611456 h 2099828"/>
                <a:gd name="connsiteX12" fmla="*/ 1438959 w 9461851"/>
                <a:gd name="connsiteY12" fmla="*/ 1298864 h 2099828"/>
                <a:gd name="connsiteX0" fmla="*/ 1645229 w 9647339"/>
                <a:gd name="connsiteY0" fmla="*/ 1236519 h 2099828"/>
                <a:gd name="connsiteX1" fmla="*/ 2382983 w 9647339"/>
                <a:gd name="connsiteY1" fmla="*/ 1236519 h 2099828"/>
                <a:gd name="connsiteX2" fmla="*/ 3297384 w 9647339"/>
                <a:gd name="connsiteY2" fmla="*/ 1194955 h 2099828"/>
                <a:gd name="connsiteX3" fmla="*/ 3775366 w 9647339"/>
                <a:gd name="connsiteY3" fmla="*/ 592282 h 2099828"/>
                <a:gd name="connsiteX4" fmla="*/ 4232565 w 9647339"/>
                <a:gd name="connsiteY4" fmla="*/ 83128 h 2099828"/>
                <a:gd name="connsiteX5" fmla="*/ 6186056 w 9647339"/>
                <a:gd name="connsiteY5" fmla="*/ 0 h 2099828"/>
                <a:gd name="connsiteX6" fmla="*/ 9632376 w 9647339"/>
                <a:gd name="connsiteY6" fmla="*/ 864 h 2099828"/>
                <a:gd name="connsiteX7" fmla="*/ 9642763 w 9647339"/>
                <a:gd name="connsiteY7" fmla="*/ 1975138 h 2099828"/>
                <a:gd name="connsiteX8" fmla="*/ 384463 w 9647339"/>
                <a:gd name="connsiteY8" fmla="*/ 2099828 h 2099828"/>
                <a:gd name="connsiteX9" fmla="*/ 0 w 9647339"/>
                <a:gd name="connsiteY9" fmla="*/ 1258163 h 2099828"/>
                <a:gd name="connsiteX10" fmla="*/ 187037 w 9647339"/>
                <a:gd name="connsiteY10" fmla="*/ 1278946 h 2099828"/>
                <a:gd name="connsiteX11" fmla="*/ 1527464 w 9647339"/>
                <a:gd name="connsiteY11" fmla="*/ 1611456 h 2099828"/>
                <a:gd name="connsiteX12" fmla="*/ 1624447 w 9647339"/>
                <a:gd name="connsiteY12" fmla="*/ 1298864 h 2099828"/>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87037 w 9647339"/>
                <a:gd name="connsiteY10" fmla="*/ 1278946 h 1995919"/>
                <a:gd name="connsiteX11" fmla="*/ 1527464 w 9647339"/>
                <a:gd name="connsiteY11" fmla="*/ 1611456 h 1995919"/>
                <a:gd name="connsiteX12" fmla="*/ 1624447 w 9647339"/>
                <a:gd name="connsiteY12" fmla="*/ 1298864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1527464 w 9647339"/>
                <a:gd name="connsiteY11" fmla="*/ 1611456 h 1995919"/>
                <a:gd name="connsiteX12" fmla="*/ 1624447 w 9647339"/>
                <a:gd name="connsiteY12" fmla="*/ 1298864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53292 w 9647339"/>
                <a:gd name="connsiteY11" fmla="*/ 1777711 h 1995919"/>
                <a:gd name="connsiteX12" fmla="*/ 1527464 w 9647339"/>
                <a:gd name="connsiteY12" fmla="*/ 1611456 h 1995919"/>
                <a:gd name="connsiteX13" fmla="*/ 1624447 w 9647339"/>
                <a:gd name="connsiteY13" fmla="*/ 1298864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53292 w 9647339"/>
                <a:gd name="connsiteY11" fmla="*/ 1777711 h 1995919"/>
                <a:gd name="connsiteX12" fmla="*/ 1548246 w 9647339"/>
                <a:gd name="connsiteY12" fmla="*/ 1871229 h 1995919"/>
                <a:gd name="connsiteX13" fmla="*/ 1624447 w 9647339"/>
                <a:gd name="connsiteY13" fmla="*/ 1298864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53292 w 9647339"/>
                <a:gd name="connsiteY11" fmla="*/ 1777711 h 1995919"/>
                <a:gd name="connsiteX12" fmla="*/ 1548246 w 9647339"/>
                <a:gd name="connsiteY12" fmla="*/ 1871229 h 1995919"/>
                <a:gd name="connsiteX13" fmla="*/ 1676401 w 9647339"/>
                <a:gd name="connsiteY13" fmla="*/ 1246909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53292 w 9647339"/>
                <a:gd name="connsiteY11" fmla="*/ 1777711 h 1995919"/>
                <a:gd name="connsiteX12" fmla="*/ 1548246 w 9647339"/>
                <a:gd name="connsiteY12" fmla="*/ 1871229 h 1995919"/>
                <a:gd name="connsiteX13" fmla="*/ 1759528 w 9647339"/>
                <a:gd name="connsiteY13" fmla="*/ 1288473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53292 w 9647339"/>
                <a:gd name="connsiteY11" fmla="*/ 1777711 h 1995919"/>
                <a:gd name="connsiteX12" fmla="*/ 1548246 w 9647339"/>
                <a:gd name="connsiteY12" fmla="*/ 1871229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53292 w 9647339"/>
                <a:gd name="connsiteY11" fmla="*/ 1777711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74073 w 9647339"/>
                <a:gd name="connsiteY11" fmla="*/ 1892011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74073 w 9647339"/>
                <a:gd name="connsiteY11" fmla="*/ 1892011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76646 w 9647339"/>
                <a:gd name="connsiteY10" fmla="*/ 1299728 h 1995919"/>
                <a:gd name="connsiteX11" fmla="*/ 374073 w 9647339"/>
                <a:gd name="connsiteY11" fmla="*/ 1892011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58163 h 1995919"/>
                <a:gd name="connsiteX10" fmla="*/ 187037 w 9647339"/>
                <a:gd name="connsiteY10" fmla="*/ 1247773 h 1995919"/>
                <a:gd name="connsiteX11" fmla="*/ 374073 w 9647339"/>
                <a:gd name="connsiteY11" fmla="*/ 1892011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37382 h 1995919"/>
                <a:gd name="connsiteX10" fmla="*/ 187037 w 9647339"/>
                <a:gd name="connsiteY10" fmla="*/ 1247773 h 1995919"/>
                <a:gd name="connsiteX11" fmla="*/ 374073 w 9647339"/>
                <a:gd name="connsiteY11" fmla="*/ 1892011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37382 h 1995919"/>
                <a:gd name="connsiteX10" fmla="*/ 187037 w 9647339"/>
                <a:gd name="connsiteY10" fmla="*/ 1247773 h 1995919"/>
                <a:gd name="connsiteX11" fmla="*/ 374073 w 9647339"/>
                <a:gd name="connsiteY11" fmla="*/ 1892011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37382 h 1995919"/>
                <a:gd name="connsiteX10" fmla="*/ 187037 w 9647339"/>
                <a:gd name="connsiteY10" fmla="*/ 1247773 h 1995919"/>
                <a:gd name="connsiteX11" fmla="*/ 374073 w 9647339"/>
                <a:gd name="connsiteY11" fmla="*/ 1892011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37382 h 1995919"/>
                <a:gd name="connsiteX10" fmla="*/ 187037 w 9647339"/>
                <a:gd name="connsiteY10" fmla="*/ 1247773 h 1995919"/>
                <a:gd name="connsiteX11" fmla="*/ 374073 w 9647339"/>
                <a:gd name="connsiteY11" fmla="*/ 1933574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37382 h 1995919"/>
                <a:gd name="connsiteX10" fmla="*/ 187037 w 9647339"/>
                <a:gd name="connsiteY10" fmla="*/ 1247773 h 1995919"/>
                <a:gd name="connsiteX11" fmla="*/ 384464 w 9647339"/>
                <a:gd name="connsiteY11" fmla="*/ 1902402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37382 h 1995919"/>
                <a:gd name="connsiteX10" fmla="*/ 187037 w 9647339"/>
                <a:gd name="connsiteY10" fmla="*/ 1247773 h 1995919"/>
                <a:gd name="connsiteX11" fmla="*/ 384464 w 9647339"/>
                <a:gd name="connsiteY11" fmla="*/ 1923184 h 1995919"/>
                <a:gd name="connsiteX12" fmla="*/ 1485901 w 9647339"/>
                <a:gd name="connsiteY12" fmla="*/ 1912793 h 1995919"/>
                <a:gd name="connsiteX13" fmla="*/ 1655619 w 9647339"/>
                <a:gd name="connsiteY13" fmla="*/ 1267691 h 1995919"/>
                <a:gd name="connsiteX0" fmla="*/ 1645229 w 9647339"/>
                <a:gd name="connsiteY0" fmla="*/ 1236519 h 1995919"/>
                <a:gd name="connsiteX1" fmla="*/ 2382983 w 9647339"/>
                <a:gd name="connsiteY1" fmla="*/ 1236519 h 1995919"/>
                <a:gd name="connsiteX2" fmla="*/ 3297384 w 9647339"/>
                <a:gd name="connsiteY2" fmla="*/ 1194955 h 1995919"/>
                <a:gd name="connsiteX3" fmla="*/ 3775366 w 9647339"/>
                <a:gd name="connsiteY3" fmla="*/ 592282 h 1995919"/>
                <a:gd name="connsiteX4" fmla="*/ 4232565 w 9647339"/>
                <a:gd name="connsiteY4" fmla="*/ 83128 h 1995919"/>
                <a:gd name="connsiteX5" fmla="*/ 6186056 w 9647339"/>
                <a:gd name="connsiteY5" fmla="*/ 0 h 1995919"/>
                <a:gd name="connsiteX6" fmla="*/ 9632376 w 9647339"/>
                <a:gd name="connsiteY6" fmla="*/ 864 h 1995919"/>
                <a:gd name="connsiteX7" fmla="*/ 9642763 w 9647339"/>
                <a:gd name="connsiteY7" fmla="*/ 1975138 h 1995919"/>
                <a:gd name="connsiteX8" fmla="*/ 218209 w 9647339"/>
                <a:gd name="connsiteY8" fmla="*/ 1995919 h 1995919"/>
                <a:gd name="connsiteX9" fmla="*/ 0 w 9647339"/>
                <a:gd name="connsiteY9" fmla="*/ 1237382 h 1995919"/>
                <a:gd name="connsiteX10" fmla="*/ 197428 w 9647339"/>
                <a:gd name="connsiteY10" fmla="*/ 1247773 h 1995919"/>
                <a:gd name="connsiteX11" fmla="*/ 384464 w 9647339"/>
                <a:gd name="connsiteY11" fmla="*/ 1923184 h 1995919"/>
                <a:gd name="connsiteX12" fmla="*/ 1485901 w 9647339"/>
                <a:gd name="connsiteY12" fmla="*/ 1912793 h 1995919"/>
                <a:gd name="connsiteX13" fmla="*/ 1655619 w 9647339"/>
                <a:gd name="connsiteY13" fmla="*/ 1267691 h 1995919"/>
                <a:gd name="connsiteX0" fmla="*/ 1645229 w 9647339"/>
                <a:gd name="connsiteY0" fmla="*/ 1236519 h 2000682"/>
                <a:gd name="connsiteX1" fmla="*/ 2382983 w 9647339"/>
                <a:gd name="connsiteY1" fmla="*/ 1236519 h 2000682"/>
                <a:gd name="connsiteX2" fmla="*/ 3297384 w 9647339"/>
                <a:gd name="connsiteY2" fmla="*/ 1194955 h 2000682"/>
                <a:gd name="connsiteX3" fmla="*/ 3775366 w 9647339"/>
                <a:gd name="connsiteY3" fmla="*/ 592282 h 2000682"/>
                <a:gd name="connsiteX4" fmla="*/ 4232565 w 9647339"/>
                <a:gd name="connsiteY4" fmla="*/ 83128 h 2000682"/>
                <a:gd name="connsiteX5" fmla="*/ 6186056 w 9647339"/>
                <a:gd name="connsiteY5" fmla="*/ 0 h 2000682"/>
                <a:gd name="connsiteX6" fmla="*/ 9632376 w 9647339"/>
                <a:gd name="connsiteY6" fmla="*/ 864 h 2000682"/>
                <a:gd name="connsiteX7" fmla="*/ 9642763 w 9647339"/>
                <a:gd name="connsiteY7" fmla="*/ 1975138 h 2000682"/>
                <a:gd name="connsiteX8" fmla="*/ 56284 w 9647339"/>
                <a:gd name="connsiteY8" fmla="*/ 2000682 h 2000682"/>
                <a:gd name="connsiteX9" fmla="*/ 0 w 9647339"/>
                <a:gd name="connsiteY9" fmla="*/ 1237382 h 2000682"/>
                <a:gd name="connsiteX10" fmla="*/ 197428 w 9647339"/>
                <a:gd name="connsiteY10" fmla="*/ 1247773 h 2000682"/>
                <a:gd name="connsiteX11" fmla="*/ 384464 w 9647339"/>
                <a:gd name="connsiteY11" fmla="*/ 1923184 h 2000682"/>
                <a:gd name="connsiteX12" fmla="*/ 1485901 w 9647339"/>
                <a:gd name="connsiteY12" fmla="*/ 1912793 h 2000682"/>
                <a:gd name="connsiteX13" fmla="*/ 1655619 w 9647339"/>
                <a:gd name="connsiteY13" fmla="*/ 1267691 h 2000682"/>
                <a:gd name="connsiteX0" fmla="*/ 1645229 w 9647339"/>
                <a:gd name="connsiteY0" fmla="*/ 1236519 h 2000682"/>
                <a:gd name="connsiteX1" fmla="*/ 2382983 w 9647339"/>
                <a:gd name="connsiteY1" fmla="*/ 1236519 h 2000682"/>
                <a:gd name="connsiteX2" fmla="*/ 3297384 w 9647339"/>
                <a:gd name="connsiteY2" fmla="*/ 1194955 h 2000682"/>
                <a:gd name="connsiteX3" fmla="*/ 3775366 w 9647339"/>
                <a:gd name="connsiteY3" fmla="*/ 592282 h 2000682"/>
                <a:gd name="connsiteX4" fmla="*/ 4232565 w 9647339"/>
                <a:gd name="connsiteY4" fmla="*/ 83128 h 2000682"/>
                <a:gd name="connsiteX5" fmla="*/ 6186056 w 9647339"/>
                <a:gd name="connsiteY5" fmla="*/ 0 h 2000682"/>
                <a:gd name="connsiteX6" fmla="*/ 9632376 w 9647339"/>
                <a:gd name="connsiteY6" fmla="*/ 864 h 2000682"/>
                <a:gd name="connsiteX7" fmla="*/ 9642763 w 9647339"/>
                <a:gd name="connsiteY7" fmla="*/ 1975138 h 2000682"/>
                <a:gd name="connsiteX8" fmla="*/ 56284 w 9647339"/>
                <a:gd name="connsiteY8" fmla="*/ 2000682 h 2000682"/>
                <a:gd name="connsiteX9" fmla="*/ 0 w 9647339"/>
                <a:gd name="connsiteY9" fmla="*/ 1237382 h 2000682"/>
                <a:gd name="connsiteX10" fmla="*/ 197428 w 9647339"/>
                <a:gd name="connsiteY10" fmla="*/ 1247773 h 2000682"/>
                <a:gd name="connsiteX11" fmla="*/ 384464 w 9647339"/>
                <a:gd name="connsiteY11" fmla="*/ 1923184 h 2000682"/>
                <a:gd name="connsiteX12" fmla="*/ 1485901 w 9647339"/>
                <a:gd name="connsiteY12" fmla="*/ 1912793 h 2000682"/>
                <a:gd name="connsiteX13" fmla="*/ 1655619 w 9647339"/>
                <a:gd name="connsiteY13" fmla="*/ 1267691 h 2000682"/>
                <a:gd name="connsiteX0" fmla="*/ 1640466 w 9642576"/>
                <a:gd name="connsiteY0" fmla="*/ 1236519 h 2000682"/>
                <a:gd name="connsiteX1" fmla="*/ 2378220 w 9642576"/>
                <a:gd name="connsiteY1" fmla="*/ 1236519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51521 w 9642576"/>
                <a:gd name="connsiteY8" fmla="*/ 2000682 h 2000682"/>
                <a:gd name="connsiteX9" fmla="*/ 0 w 9642576"/>
                <a:gd name="connsiteY9" fmla="*/ 1256432 h 2000682"/>
                <a:gd name="connsiteX10" fmla="*/ 192665 w 9642576"/>
                <a:gd name="connsiteY10" fmla="*/ 1247773 h 2000682"/>
                <a:gd name="connsiteX11" fmla="*/ 379701 w 9642576"/>
                <a:gd name="connsiteY11" fmla="*/ 1923184 h 2000682"/>
                <a:gd name="connsiteX12" fmla="*/ 1481138 w 9642576"/>
                <a:gd name="connsiteY12" fmla="*/ 1912793 h 2000682"/>
                <a:gd name="connsiteX13" fmla="*/ 1650856 w 9642576"/>
                <a:gd name="connsiteY13" fmla="*/ 1267691 h 2000682"/>
                <a:gd name="connsiteX0" fmla="*/ 1640466 w 9642576"/>
                <a:gd name="connsiteY0" fmla="*/ 1236519 h 2000682"/>
                <a:gd name="connsiteX1" fmla="*/ 2378220 w 9642576"/>
                <a:gd name="connsiteY1" fmla="*/ 1236519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51521 w 9642576"/>
                <a:gd name="connsiteY8" fmla="*/ 2000682 h 2000682"/>
                <a:gd name="connsiteX9" fmla="*/ 0 w 9642576"/>
                <a:gd name="connsiteY9" fmla="*/ 1251670 h 2000682"/>
                <a:gd name="connsiteX10" fmla="*/ 192665 w 9642576"/>
                <a:gd name="connsiteY10" fmla="*/ 1247773 h 2000682"/>
                <a:gd name="connsiteX11" fmla="*/ 379701 w 9642576"/>
                <a:gd name="connsiteY11" fmla="*/ 1923184 h 2000682"/>
                <a:gd name="connsiteX12" fmla="*/ 1481138 w 9642576"/>
                <a:gd name="connsiteY12" fmla="*/ 1912793 h 2000682"/>
                <a:gd name="connsiteX13" fmla="*/ 1650856 w 9642576"/>
                <a:gd name="connsiteY13" fmla="*/ 1267691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51521 w 9642576"/>
                <a:gd name="connsiteY8" fmla="*/ 2000682 h 2000682"/>
                <a:gd name="connsiteX9" fmla="*/ 0 w 9642576"/>
                <a:gd name="connsiteY9" fmla="*/ 1251670 h 2000682"/>
                <a:gd name="connsiteX10" fmla="*/ 192665 w 9642576"/>
                <a:gd name="connsiteY10" fmla="*/ 1247773 h 2000682"/>
                <a:gd name="connsiteX11" fmla="*/ 379701 w 9642576"/>
                <a:gd name="connsiteY11" fmla="*/ 1923184 h 2000682"/>
                <a:gd name="connsiteX12" fmla="*/ 1481138 w 9642576"/>
                <a:gd name="connsiteY12" fmla="*/ 1912793 h 2000682"/>
                <a:gd name="connsiteX13" fmla="*/ 1650856 w 9642576"/>
                <a:gd name="connsiteY13" fmla="*/ 1267691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51521 w 9642576"/>
                <a:gd name="connsiteY8" fmla="*/ 2000682 h 2000682"/>
                <a:gd name="connsiteX9" fmla="*/ 0 w 9642576"/>
                <a:gd name="connsiteY9" fmla="*/ 1251670 h 2000682"/>
                <a:gd name="connsiteX10" fmla="*/ 192665 w 9642576"/>
                <a:gd name="connsiteY10" fmla="*/ 1247773 h 2000682"/>
                <a:gd name="connsiteX11" fmla="*/ 379701 w 9642576"/>
                <a:gd name="connsiteY11" fmla="*/ 1923184 h 2000682"/>
                <a:gd name="connsiteX12" fmla="*/ 1481138 w 9642576"/>
                <a:gd name="connsiteY12" fmla="*/ 1912793 h 2000682"/>
                <a:gd name="connsiteX13" fmla="*/ 1650856 w 9642576"/>
                <a:gd name="connsiteY13" fmla="*/ 1267691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51521 w 9642576"/>
                <a:gd name="connsiteY8" fmla="*/ 2000682 h 2000682"/>
                <a:gd name="connsiteX9" fmla="*/ 0 w 9642576"/>
                <a:gd name="connsiteY9" fmla="*/ 1251670 h 2000682"/>
                <a:gd name="connsiteX10" fmla="*/ 192665 w 9642576"/>
                <a:gd name="connsiteY10" fmla="*/ 1247773 h 2000682"/>
                <a:gd name="connsiteX11" fmla="*/ 379701 w 9642576"/>
                <a:gd name="connsiteY11" fmla="*/ 1923184 h 2000682"/>
                <a:gd name="connsiteX12" fmla="*/ 1481138 w 9642576"/>
                <a:gd name="connsiteY12" fmla="*/ 1912793 h 2000682"/>
                <a:gd name="connsiteX13" fmla="*/ 1650856 w 9642576"/>
                <a:gd name="connsiteY13" fmla="*/ 1267691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51521 w 9642576"/>
                <a:gd name="connsiteY8" fmla="*/ 2000682 h 2000682"/>
                <a:gd name="connsiteX9" fmla="*/ 0 w 9642576"/>
                <a:gd name="connsiteY9" fmla="*/ 1251670 h 2000682"/>
                <a:gd name="connsiteX10" fmla="*/ 192665 w 9642576"/>
                <a:gd name="connsiteY10" fmla="*/ 1247773 h 2000682"/>
                <a:gd name="connsiteX11" fmla="*/ 379701 w 9642576"/>
                <a:gd name="connsiteY11" fmla="*/ 1923184 h 2000682"/>
                <a:gd name="connsiteX12" fmla="*/ 1481138 w 9642576"/>
                <a:gd name="connsiteY12" fmla="*/ 1912793 h 2000682"/>
                <a:gd name="connsiteX13" fmla="*/ 1655618 w 9642576"/>
                <a:gd name="connsiteY13" fmla="*/ 126292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51521 w 9642576"/>
                <a:gd name="connsiteY8" fmla="*/ 2000682 h 2000682"/>
                <a:gd name="connsiteX9" fmla="*/ 0 w 9642576"/>
                <a:gd name="connsiteY9" fmla="*/ 1251670 h 2000682"/>
                <a:gd name="connsiteX10" fmla="*/ 192665 w 9642576"/>
                <a:gd name="connsiteY10" fmla="*/ 1247773 h 2000682"/>
                <a:gd name="connsiteX11" fmla="*/ 379701 w 9642576"/>
                <a:gd name="connsiteY11" fmla="*/ 1923184 h 2000682"/>
                <a:gd name="connsiteX12" fmla="*/ 1481138 w 9642576"/>
                <a:gd name="connsiteY12" fmla="*/ 1912793 h 2000682"/>
                <a:gd name="connsiteX13" fmla="*/ 1646093 w 9642576"/>
                <a:gd name="connsiteY13"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51521 w 9642576"/>
                <a:gd name="connsiteY9" fmla="*/ 2000682 h 2000682"/>
                <a:gd name="connsiteX10" fmla="*/ 0 w 9642576"/>
                <a:gd name="connsiteY10" fmla="*/ 1251670 h 2000682"/>
                <a:gd name="connsiteX11" fmla="*/ 192665 w 9642576"/>
                <a:gd name="connsiteY11" fmla="*/ 1247773 h 2000682"/>
                <a:gd name="connsiteX12" fmla="*/ 379701 w 9642576"/>
                <a:gd name="connsiteY12" fmla="*/ 1923184 h 2000682"/>
                <a:gd name="connsiteX13" fmla="*/ 1481138 w 9642576"/>
                <a:gd name="connsiteY13" fmla="*/ 1912793 h 2000682"/>
                <a:gd name="connsiteX14" fmla="*/ 1646093 w 9642576"/>
                <a:gd name="connsiteY14" fmla="*/ 1243879 h 2000682"/>
                <a:gd name="connsiteX0" fmla="*/ 1640466 w 9642576"/>
                <a:gd name="connsiteY0" fmla="*/ 1236519 h 2074899"/>
                <a:gd name="connsiteX1" fmla="*/ 2378220 w 9642576"/>
                <a:gd name="connsiteY1" fmla="*/ 1250806 h 2074899"/>
                <a:gd name="connsiteX2" fmla="*/ 3292621 w 9642576"/>
                <a:gd name="connsiteY2" fmla="*/ 1194955 h 2074899"/>
                <a:gd name="connsiteX3" fmla="*/ 3770603 w 9642576"/>
                <a:gd name="connsiteY3" fmla="*/ 592282 h 2074899"/>
                <a:gd name="connsiteX4" fmla="*/ 4227802 w 9642576"/>
                <a:gd name="connsiteY4" fmla="*/ 83128 h 2074899"/>
                <a:gd name="connsiteX5" fmla="*/ 6181293 w 9642576"/>
                <a:gd name="connsiteY5" fmla="*/ 0 h 2074899"/>
                <a:gd name="connsiteX6" fmla="*/ 9627613 w 9642576"/>
                <a:gd name="connsiteY6" fmla="*/ 864 h 2074899"/>
                <a:gd name="connsiteX7" fmla="*/ 9638000 w 9642576"/>
                <a:gd name="connsiteY7" fmla="*/ 1975138 h 2074899"/>
                <a:gd name="connsiteX8" fmla="*/ 4298825 w 9642576"/>
                <a:gd name="connsiteY8" fmla="*/ 361089 h 2074899"/>
                <a:gd name="connsiteX9" fmla="*/ 1892828 w 9642576"/>
                <a:gd name="connsiteY9" fmla="*/ 1949590 h 2074899"/>
                <a:gd name="connsiteX10" fmla="*/ 51521 w 9642576"/>
                <a:gd name="connsiteY10" fmla="*/ 2000682 h 2074899"/>
                <a:gd name="connsiteX11" fmla="*/ 0 w 9642576"/>
                <a:gd name="connsiteY11" fmla="*/ 1251670 h 2074899"/>
                <a:gd name="connsiteX12" fmla="*/ 192665 w 9642576"/>
                <a:gd name="connsiteY12" fmla="*/ 1247773 h 2074899"/>
                <a:gd name="connsiteX13" fmla="*/ 379701 w 9642576"/>
                <a:gd name="connsiteY13" fmla="*/ 1923184 h 2074899"/>
                <a:gd name="connsiteX14" fmla="*/ 1481138 w 9642576"/>
                <a:gd name="connsiteY14" fmla="*/ 1912793 h 2074899"/>
                <a:gd name="connsiteX15" fmla="*/ 1646093 w 9642576"/>
                <a:gd name="connsiteY15" fmla="*/ 1243879 h 2074899"/>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1892828 w 9642576"/>
                <a:gd name="connsiteY9" fmla="*/ 1949590 h 2000682"/>
                <a:gd name="connsiteX10" fmla="*/ 51521 w 9642576"/>
                <a:gd name="connsiteY10" fmla="*/ 2000682 h 2000682"/>
                <a:gd name="connsiteX11" fmla="*/ 0 w 9642576"/>
                <a:gd name="connsiteY11" fmla="*/ 1251670 h 2000682"/>
                <a:gd name="connsiteX12" fmla="*/ 192665 w 9642576"/>
                <a:gd name="connsiteY12" fmla="*/ 1247773 h 2000682"/>
                <a:gd name="connsiteX13" fmla="*/ 379701 w 9642576"/>
                <a:gd name="connsiteY13" fmla="*/ 1923184 h 2000682"/>
                <a:gd name="connsiteX14" fmla="*/ 1481138 w 9642576"/>
                <a:gd name="connsiteY14" fmla="*/ 1912793 h 2000682"/>
                <a:gd name="connsiteX15" fmla="*/ 1646093 w 9642576"/>
                <a:gd name="connsiteY15" fmla="*/ 1243879 h 2000682"/>
                <a:gd name="connsiteX0" fmla="*/ 1640466 w 9642576"/>
                <a:gd name="connsiteY0" fmla="*/ 1236519 h 2026145"/>
                <a:gd name="connsiteX1" fmla="*/ 2378220 w 9642576"/>
                <a:gd name="connsiteY1" fmla="*/ 1250806 h 2026145"/>
                <a:gd name="connsiteX2" fmla="*/ 3292621 w 9642576"/>
                <a:gd name="connsiteY2" fmla="*/ 1194955 h 2026145"/>
                <a:gd name="connsiteX3" fmla="*/ 3770603 w 9642576"/>
                <a:gd name="connsiteY3" fmla="*/ 592282 h 2026145"/>
                <a:gd name="connsiteX4" fmla="*/ 4227802 w 9642576"/>
                <a:gd name="connsiteY4" fmla="*/ 83128 h 2026145"/>
                <a:gd name="connsiteX5" fmla="*/ 6181293 w 9642576"/>
                <a:gd name="connsiteY5" fmla="*/ 0 h 2026145"/>
                <a:gd name="connsiteX6" fmla="*/ 9627613 w 9642576"/>
                <a:gd name="connsiteY6" fmla="*/ 864 h 2026145"/>
                <a:gd name="connsiteX7" fmla="*/ 9638000 w 9642576"/>
                <a:gd name="connsiteY7" fmla="*/ 1975138 h 2026145"/>
                <a:gd name="connsiteX8" fmla="*/ 4298825 w 9642576"/>
                <a:gd name="connsiteY8" fmla="*/ 361089 h 2026145"/>
                <a:gd name="connsiteX9" fmla="*/ 1892828 w 9642576"/>
                <a:gd name="connsiteY9" fmla="*/ 2026145 h 2026145"/>
                <a:gd name="connsiteX10" fmla="*/ 51521 w 9642576"/>
                <a:gd name="connsiteY10" fmla="*/ 2000682 h 2026145"/>
                <a:gd name="connsiteX11" fmla="*/ 0 w 9642576"/>
                <a:gd name="connsiteY11" fmla="*/ 1251670 h 2026145"/>
                <a:gd name="connsiteX12" fmla="*/ 192665 w 9642576"/>
                <a:gd name="connsiteY12" fmla="*/ 1247773 h 2026145"/>
                <a:gd name="connsiteX13" fmla="*/ 379701 w 9642576"/>
                <a:gd name="connsiteY13" fmla="*/ 1923184 h 2026145"/>
                <a:gd name="connsiteX14" fmla="*/ 1481138 w 9642576"/>
                <a:gd name="connsiteY14" fmla="*/ 1912793 h 2026145"/>
                <a:gd name="connsiteX15" fmla="*/ 1646093 w 9642576"/>
                <a:gd name="connsiteY15" fmla="*/ 1243879 h 2026145"/>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1892828 w 9642576"/>
                <a:gd name="connsiteY9" fmla="*/ 1987868 h 2000682"/>
                <a:gd name="connsiteX10" fmla="*/ 51521 w 9642576"/>
                <a:gd name="connsiteY10" fmla="*/ 2000682 h 2000682"/>
                <a:gd name="connsiteX11" fmla="*/ 0 w 9642576"/>
                <a:gd name="connsiteY11" fmla="*/ 1251670 h 2000682"/>
                <a:gd name="connsiteX12" fmla="*/ 192665 w 9642576"/>
                <a:gd name="connsiteY12" fmla="*/ 1247773 h 2000682"/>
                <a:gd name="connsiteX13" fmla="*/ 379701 w 9642576"/>
                <a:gd name="connsiteY13" fmla="*/ 1923184 h 2000682"/>
                <a:gd name="connsiteX14" fmla="*/ 1481138 w 9642576"/>
                <a:gd name="connsiteY14" fmla="*/ 1912793 h 2000682"/>
                <a:gd name="connsiteX15" fmla="*/ 1646093 w 9642576"/>
                <a:gd name="connsiteY15"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1892828 w 9642576"/>
                <a:gd name="connsiteY9" fmla="*/ 1987868 h 2000682"/>
                <a:gd name="connsiteX10" fmla="*/ 51521 w 9642576"/>
                <a:gd name="connsiteY10" fmla="*/ 2000682 h 2000682"/>
                <a:gd name="connsiteX11" fmla="*/ 0 w 9642576"/>
                <a:gd name="connsiteY11" fmla="*/ 1251670 h 2000682"/>
                <a:gd name="connsiteX12" fmla="*/ 192665 w 9642576"/>
                <a:gd name="connsiteY12" fmla="*/ 1247773 h 2000682"/>
                <a:gd name="connsiteX13" fmla="*/ 379701 w 9642576"/>
                <a:gd name="connsiteY13" fmla="*/ 1923184 h 2000682"/>
                <a:gd name="connsiteX14" fmla="*/ 1481138 w 9642576"/>
                <a:gd name="connsiteY14" fmla="*/ 1912793 h 2000682"/>
                <a:gd name="connsiteX15" fmla="*/ 1646093 w 9642576"/>
                <a:gd name="connsiteY15"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2202313 w 9642576"/>
                <a:gd name="connsiteY9" fmla="*/ 1442419 h 2000682"/>
                <a:gd name="connsiteX10" fmla="*/ 1892828 w 9642576"/>
                <a:gd name="connsiteY10" fmla="*/ 1987868 h 2000682"/>
                <a:gd name="connsiteX11" fmla="*/ 51521 w 9642576"/>
                <a:gd name="connsiteY11" fmla="*/ 2000682 h 2000682"/>
                <a:gd name="connsiteX12" fmla="*/ 0 w 9642576"/>
                <a:gd name="connsiteY12" fmla="*/ 1251670 h 2000682"/>
                <a:gd name="connsiteX13" fmla="*/ 192665 w 9642576"/>
                <a:gd name="connsiteY13" fmla="*/ 1247773 h 2000682"/>
                <a:gd name="connsiteX14" fmla="*/ 379701 w 9642576"/>
                <a:gd name="connsiteY14" fmla="*/ 1923184 h 2000682"/>
                <a:gd name="connsiteX15" fmla="*/ 1481138 w 9642576"/>
                <a:gd name="connsiteY15" fmla="*/ 1912793 h 2000682"/>
                <a:gd name="connsiteX16" fmla="*/ 1646093 w 9642576"/>
                <a:gd name="connsiteY16"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2202313 w 9642576"/>
                <a:gd name="connsiteY9" fmla="*/ 1442419 h 2000682"/>
                <a:gd name="connsiteX10" fmla="*/ 1892828 w 9642576"/>
                <a:gd name="connsiteY10" fmla="*/ 1987868 h 2000682"/>
                <a:gd name="connsiteX11" fmla="*/ 51521 w 9642576"/>
                <a:gd name="connsiteY11" fmla="*/ 2000682 h 2000682"/>
                <a:gd name="connsiteX12" fmla="*/ 0 w 9642576"/>
                <a:gd name="connsiteY12" fmla="*/ 1251670 h 2000682"/>
                <a:gd name="connsiteX13" fmla="*/ 192665 w 9642576"/>
                <a:gd name="connsiteY13" fmla="*/ 1247773 h 2000682"/>
                <a:gd name="connsiteX14" fmla="*/ 379701 w 9642576"/>
                <a:gd name="connsiteY14" fmla="*/ 1923184 h 2000682"/>
                <a:gd name="connsiteX15" fmla="*/ 1481138 w 9642576"/>
                <a:gd name="connsiteY15" fmla="*/ 1912793 h 2000682"/>
                <a:gd name="connsiteX16" fmla="*/ 1646093 w 9642576"/>
                <a:gd name="connsiteY16"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2202313 w 9642576"/>
                <a:gd name="connsiteY9" fmla="*/ 1442419 h 2000682"/>
                <a:gd name="connsiteX10" fmla="*/ 1892828 w 9642576"/>
                <a:gd name="connsiteY10" fmla="*/ 1987868 h 2000682"/>
                <a:gd name="connsiteX11" fmla="*/ 51521 w 9642576"/>
                <a:gd name="connsiteY11" fmla="*/ 2000682 h 2000682"/>
                <a:gd name="connsiteX12" fmla="*/ 0 w 9642576"/>
                <a:gd name="connsiteY12" fmla="*/ 1251670 h 2000682"/>
                <a:gd name="connsiteX13" fmla="*/ 192665 w 9642576"/>
                <a:gd name="connsiteY13" fmla="*/ 1247773 h 2000682"/>
                <a:gd name="connsiteX14" fmla="*/ 379701 w 9642576"/>
                <a:gd name="connsiteY14" fmla="*/ 1923184 h 2000682"/>
                <a:gd name="connsiteX15" fmla="*/ 1481138 w 9642576"/>
                <a:gd name="connsiteY15" fmla="*/ 1912793 h 2000682"/>
                <a:gd name="connsiteX16" fmla="*/ 1646093 w 9642576"/>
                <a:gd name="connsiteY16"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2202313 w 9642576"/>
                <a:gd name="connsiteY9" fmla="*/ 1442419 h 2000682"/>
                <a:gd name="connsiteX10" fmla="*/ 1892828 w 9642576"/>
                <a:gd name="connsiteY10" fmla="*/ 1987868 h 2000682"/>
                <a:gd name="connsiteX11" fmla="*/ 51521 w 9642576"/>
                <a:gd name="connsiteY11" fmla="*/ 2000682 h 2000682"/>
                <a:gd name="connsiteX12" fmla="*/ 0 w 9642576"/>
                <a:gd name="connsiteY12" fmla="*/ 1251670 h 2000682"/>
                <a:gd name="connsiteX13" fmla="*/ 192665 w 9642576"/>
                <a:gd name="connsiteY13" fmla="*/ 1247773 h 2000682"/>
                <a:gd name="connsiteX14" fmla="*/ 379701 w 9642576"/>
                <a:gd name="connsiteY14" fmla="*/ 1923184 h 2000682"/>
                <a:gd name="connsiteX15" fmla="*/ 1481138 w 9642576"/>
                <a:gd name="connsiteY15" fmla="*/ 1912793 h 2000682"/>
                <a:gd name="connsiteX16" fmla="*/ 1646093 w 9642576"/>
                <a:gd name="connsiteY16"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1842912 w 9642576"/>
                <a:gd name="connsiteY9" fmla="*/ 1413710 h 2000682"/>
                <a:gd name="connsiteX10" fmla="*/ 1892828 w 9642576"/>
                <a:gd name="connsiteY10" fmla="*/ 1987868 h 2000682"/>
                <a:gd name="connsiteX11" fmla="*/ 51521 w 9642576"/>
                <a:gd name="connsiteY11" fmla="*/ 2000682 h 2000682"/>
                <a:gd name="connsiteX12" fmla="*/ 0 w 9642576"/>
                <a:gd name="connsiteY12" fmla="*/ 1251670 h 2000682"/>
                <a:gd name="connsiteX13" fmla="*/ 192665 w 9642576"/>
                <a:gd name="connsiteY13" fmla="*/ 1247773 h 2000682"/>
                <a:gd name="connsiteX14" fmla="*/ 379701 w 9642576"/>
                <a:gd name="connsiteY14" fmla="*/ 1923184 h 2000682"/>
                <a:gd name="connsiteX15" fmla="*/ 1481138 w 9642576"/>
                <a:gd name="connsiteY15" fmla="*/ 1912793 h 2000682"/>
                <a:gd name="connsiteX16" fmla="*/ 1646093 w 9642576"/>
                <a:gd name="connsiteY16"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1842912 w 9642576"/>
                <a:gd name="connsiteY9" fmla="*/ 1413710 h 2000682"/>
                <a:gd name="connsiteX10" fmla="*/ 1673194 w 9642576"/>
                <a:gd name="connsiteY10" fmla="*/ 1987868 h 2000682"/>
                <a:gd name="connsiteX11" fmla="*/ 51521 w 9642576"/>
                <a:gd name="connsiteY11" fmla="*/ 2000682 h 2000682"/>
                <a:gd name="connsiteX12" fmla="*/ 0 w 9642576"/>
                <a:gd name="connsiteY12" fmla="*/ 1251670 h 2000682"/>
                <a:gd name="connsiteX13" fmla="*/ 192665 w 9642576"/>
                <a:gd name="connsiteY13" fmla="*/ 1247773 h 2000682"/>
                <a:gd name="connsiteX14" fmla="*/ 379701 w 9642576"/>
                <a:gd name="connsiteY14" fmla="*/ 1923184 h 2000682"/>
                <a:gd name="connsiteX15" fmla="*/ 1481138 w 9642576"/>
                <a:gd name="connsiteY15" fmla="*/ 1912793 h 2000682"/>
                <a:gd name="connsiteX16" fmla="*/ 1646093 w 9642576"/>
                <a:gd name="connsiteY16"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98825 w 9642576"/>
                <a:gd name="connsiteY8" fmla="*/ 361089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258892 w 9642576"/>
                <a:gd name="connsiteY8" fmla="*/ 284534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498494 w 9642576"/>
                <a:gd name="connsiteY8" fmla="*/ 284534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498494 w 9642576"/>
                <a:gd name="connsiteY8" fmla="*/ 284534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498494 w 9642576"/>
                <a:gd name="connsiteY8" fmla="*/ 284534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42576"/>
                <a:gd name="connsiteY0" fmla="*/ 1236519 h 2000682"/>
                <a:gd name="connsiteX1" fmla="*/ 2378220 w 9642576"/>
                <a:gd name="connsiteY1" fmla="*/ 1250806 h 2000682"/>
                <a:gd name="connsiteX2" fmla="*/ 3292621 w 9642576"/>
                <a:gd name="connsiteY2" fmla="*/ 1194955 h 2000682"/>
                <a:gd name="connsiteX3" fmla="*/ 3770603 w 9642576"/>
                <a:gd name="connsiteY3" fmla="*/ 592282 h 2000682"/>
                <a:gd name="connsiteX4" fmla="*/ 4227802 w 9642576"/>
                <a:gd name="connsiteY4" fmla="*/ 83128 h 2000682"/>
                <a:gd name="connsiteX5" fmla="*/ 6181293 w 9642576"/>
                <a:gd name="connsiteY5" fmla="*/ 0 h 2000682"/>
                <a:gd name="connsiteX6" fmla="*/ 9627613 w 9642576"/>
                <a:gd name="connsiteY6" fmla="*/ 864 h 2000682"/>
                <a:gd name="connsiteX7" fmla="*/ 9638000 w 9642576"/>
                <a:gd name="connsiteY7" fmla="*/ 1975138 h 2000682"/>
                <a:gd name="connsiteX8" fmla="*/ 4498494 w 9642576"/>
                <a:gd name="connsiteY8" fmla="*/ 284534 h 2000682"/>
                <a:gd name="connsiteX9" fmla="*/ 3300486 w 9642576"/>
                <a:gd name="connsiteY9" fmla="*/ 1375433 h 2000682"/>
                <a:gd name="connsiteX10" fmla="*/ 1842912 w 9642576"/>
                <a:gd name="connsiteY10" fmla="*/ 1413710 h 2000682"/>
                <a:gd name="connsiteX11" fmla="*/ 1673194 w 9642576"/>
                <a:gd name="connsiteY11" fmla="*/ 1987868 h 2000682"/>
                <a:gd name="connsiteX12" fmla="*/ 51521 w 9642576"/>
                <a:gd name="connsiteY12" fmla="*/ 2000682 h 2000682"/>
                <a:gd name="connsiteX13" fmla="*/ 0 w 9642576"/>
                <a:gd name="connsiteY13" fmla="*/ 1251670 h 2000682"/>
                <a:gd name="connsiteX14" fmla="*/ 192665 w 9642576"/>
                <a:gd name="connsiteY14" fmla="*/ 1247773 h 2000682"/>
                <a:gd name="connsiteX15" fmla="*/ 379701 w 9642576"/>
                <a:gd name="connsiteY15" fmla="*/ 1923184 h 2000682"/>
                <a:gd name="connsiteX16" fmla="*/ 1481138 w 9642576"/>
                <a:gd name="connsiteY16" fmla="*/ 1912793 h 2000682"/>
                <a:gd name="connsiteX17" fmla="*/ 1646093 w 9642576"/>
                <a:gd name="connsiteY17" fmla="*/ 1243879 h 2000682"/>
                <a:gd name="connsiteX0" fmla="*/ 1640466 w 9638105"/>
                <a:gd name="connsiteY0" fmla="*/ 1236519 h 2000682"/>
                <a:gd name="connsiteX1" fmla="*/ 2378220 w 9638105"/>
                <a:gd name="connsiteY1" fmla="*/ 1250806 h 2000682"/>
                <a:gd name="connsiteX2" fmla="*/ 3292621 w 9638105"/>
                <a:gd name="connsiteY2" fmla="*/ 1194955 h 2000682"/>
                <a:gd name="connsiteX3" fmla="*/ 3770603 w 9638105"/>
                <a:gd name="connsiteY3" fmla="*/ 592282 h 2000682"/>
                <a:gd name="connsiteX4" fmla="*/ 4227802 w 9638105"/>
                <a:gd name="connsiteY4" fmla="*/ 83128 h 2000682"/>
                <a:gd name="connsiteX5" fmla="*/ 6181293 w 9638105"/>
                <a:gd name="connsiteY5" fmla="*/ 0 h 2000682"/>
                <a:gd name="connsiteX6" fmla="*/ 9627613 w 9638105"/>
                <a:gd name="connsiteY6" fmla="*/ 864 h 2000682"/>
                <a:gd name="connsiteX7" fmla="*/ 9638000 w 9638105"/>
                <a:gd name="connsiteY7" fmla="*/ 1975138 h 2000682"/>
                <a:gd name="connsiteX8" fmla="*/ 4498494 w 9638105"/>
                <a:gd name="connsiteY8" fmla="*/ 284534 h 2000682"/>
                <a:gd name="connsiteX9" fmla="*/ 3300486 w 9638105"/>
                <a:gd name="connsiteY9" fmla="*/ 1375433 h 2000682"/>
                <a:gd name="connsiteX10" fmla="*/ 1842912 w 9638105"/>
                <a:gd name="connsiteY10" fmla="*/ 1413710 h 2000682"/>
                <a:gd name="connsiteX11" fmla="*/ 1673194 w 9638105"/>
                <a:gd name="connsiteY11" fmla="*/ 1987868 h 2000682"/>
                <a:gd name="connsiteX12" fmla="*/ 51521 w 9638105"/>
                <a:gd name="connsiteY12" fmla="*/ 2000682 h 2000682"/>
                <a:gd name="connsiteX13" fmla="*/ 0 w 9638105"/>
                <a:gd name="connsiteY13" fmla="*/ 1251670 h 2000682"/>
                <a:gd name="connsiteX14" fmla="*/ 192665 w 9638105"/>
                <a:gd name="connsiteY14" fmla="*/ 1247773 h 2000682"/>
                <a:gd name="connsiteX15" fmla="*/ 379701 w 9638105"/>
                <a:gd name="connsiteY15" fmla="*/ 1923184 h 2000682"/>
                <a:gd name="connsiteX16" fmla="*/ 1481138 w 9638105"/>
                <a:gd name="connsiteY16" fmla="*/ 1912793 h 2000682"/>
                <a:gd name="connsiteX17" fmla="*/ 1646093 w 9638105"/>
                <a:gd name="connsiteY17" fmla="*/ 1243879 h 2000682"/>
                <a:gd name="connsiteX0" fmla="*/ 1640466 w 9638105"/>
                <a:gd name="connsiteY0" fmla="*/ 1236519 h 2000682"/>
                <a:gd name="connsiteX1" fmla="*/ 2378220 w 9638105"/>
                <a:gd name="connsiteY1" fmla="*/ 1250806 h 2000682"/>
                <a:gd name="connsiteX2" fmla="*/ 3292621 w 9638105"/>
                <a:gd name="connsiteY2" fmla="*/ 1194955 h 2000682"/>
                <a:gd name="connsiteX3" fmla="*/ 3770603 w 9638105"/>
                <a:gd name="connsiteY3" fmla="*/ 592282 h 2000682"/>
                <a:gd name="connsiteX4" fmla="*/ 4227802 w 9638105"/>
                <a:gd name="connsiteY4" fmla="*/ 83128 h 2000682"/>
                <a:gd name="connsiteX5" fmla="*/ 6181293 w 9638105"/>
                <a:gd name="connsiteY5" fmla="*/ 0 h 2000682"/>
                <a:gd name="connsiteX6" fmla="*/ 9627613 w 9638105"/>
                <a:gd name="connsiteY6" fmla="*/ 864 h 2000682"/>
                <a:gd name="connsiteX7" fmla="*/ 9638001 w 9638105"/>
                <a:gd name="connsiteY7" fmla="*/ 348360 h 2000682"/>
                <a:gd name="connsiteX8" fmla="*/ 4498494 w 9638105"/>
                <a:gd name="connsiteY8" fmla="*/ 284534 h 2000682"/>
                <a:gd name="connsiteX9" fmla="*/ 3300486 w 9638105"/>
                <a:gd name="connsiteY9" fmla="*/ 1375433 h 2000682"/>
                <a:gd name="connsiteX10" fmla="*/ 1842912 w 9638105"/>
                <a:gd name="connsiteY10" fmla="*/ 1413710 h 2000682"/>
                <a:gd name="connsiteX11" fmla="*/ 1673194 w 9638105"/>
                <a:gd name="connsiteY11" fmla="*/ 1987868 h 2000682"/>
                <a:gd name="connsiteX12" fmla="*/ 51521 w 9638105"/>
                <a:gd name="connsiteY12" fmla="*/ 2000682 h 2000682"/>
                <a:gd name="connsiteX13" fmla="*/ 0 w 9638105"/>
                <a:gd name="connsiteY13" fmla="*/ 1251670 h 2000682"/>
                <a:gd name="connsiteX14" fmla="*/ 192665 w 9638105"/>
                <a:gd name="connsiteY14" fmla="*/ 1247773 h 2000682"/>
                <a:gd name="connsiteX15" fmla="*/ 379701 w 9638105"/>
                <a:gd name="connsiteY15" fmla="*/ 1923184 h 2000682"/>
                <a:gd name="connsiteX16" fmla="*/ 1481138 w 9638105"/>
                <a:gd name="connsiteY16" fmla="*/ 1912793 h 2000682"/>
                <a:gd name="connsiteX17" fmla="*/ 1646093 w 9638105"/>
                <a:gd name="connsiteY17" fmla="*/ 1243879 h 2000682"/>
                <a:gd name="connsiteX0" fmla="*/ 1640466 w 9638001"/>
                <a:gd name="connsiteY0" fmla="*/ 1236519 h 2000682"/>
                <a:gd name="connsiteX1" fmla="*/ 2378220 w 9638001"/>
                <a:gd name="connsiteY1" fmla="*/ 1250806 h 2000682"/>
                <a:gd name="connsiteX2" fmla="*/ 3292621 w 9638001"/>
                <a:gd name="connsiteY2" fmla="*/ 1194955 h 2000682"/>
                <a:gd name="connsiteX3" fmla="*/ 3770603 w 9638001"/>
                <a:gd name="connsiteY3" fmla="*/ 592282 h 2000682"/>
                <a:gd name="connsiteX4" fmla="*/ 4227802 w 9638001"/>
                <a:gd name="connsiteY4" fmla="*/ 83128 h 2000682"/>
                <a:gd name="connsiteX5" fmla="*/ 6181293 w 9638001"/>
                <a:gd name="connsiteY5" fmla="*/ 0 h 2000682"/>
                <a:gd name="connsiteX6" fmla="*/ 9627613 w 9638001"/>
                <a:gd name="connsiteY6" fmla="*/ 864 h 2000682"/>
                <a:gd name="connsiteX7" fmla="*/ 9638001 w 9638001"/>
                <a:gd name="connsiteY7" fmla="*/ 348360 h 2000682"/>
                <a:gd name="connsiteX8" fmla="*/ 4498494 w 9638001"/>
                <a:gd name="connsiteY8" fmla="*/ 284534 h 2000682"/>
                <a:gd name="connsiteX9" fmla="*/ 3300486 w 9638001"/>
                <a:gd name="connsiteY9" fmla="*/ 1375433 h 2000682"/>
                <a:gd name="connsiteX10" fmla="*/ 1842912 w 9638001"/>
                <a:gd name="connsiteY10" fmla="*/ 1413710 h 2000682"/>
                <a:gd name="connsiteX11" fmla="*/ 1673194 w 9638001"/>
                <a:gd name="connsiteY11" fmla="*/ 1987868 h 2000682"/>
                <a:gd name="connsiteX12" fmla="*/ 51521 w 9638001"/>
                <a:gd name="connsiteY12" fmla="*/ 2000682 h 2000682"/>
                <a:gd name="connsiteX13" fmla="*/ 0 w 9638001"/>
                <a:gd name="connsiteY13" fmla="*/ 1251670 h 2000682"/>
                <a:gd name="connsiteX14" fmla="*/ 192665 w 9638001"/>
                <a:gd name="connsiteY14" fmla="*/ 1247773 h 2000682"/>
                <a:gd name="connsiteX15" fmla="*/ 379701 w 9638001"/>
                <a:gd name="connsiteY15" fmla="*/ 1923184 h 2000682"/>
                <a:gd name="connsiteX16" fmla="*/ 1481138 w 9638001"/>
                <a:gd name="connsiteY16" fmla="*/ 1912793 h 2000682"/>
                <a:gd name="connsiteX17" fmla="*/ 1646093 w 9638001"/>
                <a:gd name="connsiteY17" fmla="*/ 1243879 h 2000682"/>
                <a:gd name="connsiteX0" fmla="*/ 1640466 w 9638001"/>
                <a:gd name="connsiteY0" fmla="*/ 1236519 h 2000682"/>
                <a:gd name="connsiteX1" fmla="*/ 2378220 w 9638001"/>
                <a:gd name="connsiteY1" fmla="*/ 1250806 h 2000682"/>
                <a:gd name="connsiteX2" fmla="*/ 3292621 w 9638001"/>
                <a:gd name="connsiteY2" fmla="*/ 1194955 h 2000682"/>
                <a:gd name="connsiteX3" fmla="*/ 3770603 w 9638001"/>
                <a:gd name="connsiteY3" fmla="*/ 592282 h 2000682"/>
                <a:gd name="connsiteX4" fmla="*/ 4227802 w 9638001"/>
                <a:gd name="connsiteY4" fmla="*/ 83128 h 2000682"/>
                <a:gd name="connsiteX5" fmla="*/ 6181293 w 9638001"/>
                <a:gd name="connsiteY5" fmla="*/ 0 h 2000682"/>
                <a:gd name="connsiteX6" fmla="*/ 9627613 w 9638001"/>
                <a:gd name="connsiteY6" fmla="*/ 864 h 2000682"/>
                <a:gd name="connsiteX7" fmla="*/ 9638001 w 9638001"/>
                <a:gd name="connsiteY7" fmla="*/ 262236 h 2000682"/>
                <a:gd name="connsiteX8" fmla="*/ 4498494 w 9638001"/>
                <a:gd name="connsiteY8" fmla="*/ 284534 h 2000682"/>
                <a:gd name="connsiteX9" fmla="*/ 3300486 w 9638001"/>
                <a:gd name="connsiteY9" fmla="*/ 1375433 h 2000682"/>
                <a:gd name="connsiteX10" fmla="*/ 1842912 w 9638001"/>
                <a:gd name="connsiteY10" fmla="*/ 1413710 h 2000682"/>
                <a:gd name="connsiteX11" fmla="*/ 1673194 w 9638001"/>
                <a:gd name="connsiteY11" fmla="*/ 1987868 h 2000682"/>
                <a:gd name="connsiteX12" fmla="*/ 51521 w 9638001"/>
                <a:gd name="connsiteY12" fmla="*/ 2000682 h 2000682"/>
                <a:gd name="connsiteX13" fmla="*/ 0 w 9638001"/>
                <a:gd name="connsiteY13" fmla="*/ 1251670 h 2000682"/>
                <a:gd name="connsiteX14" fmla="*/ 192665 w 9638001"/>
                <a:gd name="connsiteY14" fmla="*/ 1247773 h 2000682"/>
                <a:gd name="connsiteX15" fmla="*/ 379701 w 9638001"/>
                <a:gd name="connsiteY15" fmla="*/ 1923184 h 2000682"/>
                <a:gd name="connsiteX16" fmla="*/ 1481138 w 9638001"/>
                <a:gd name="connsiteY16" fmla="*/ 1912793 h 2000682"/>
                <a:gd name="connsiteX17" fmla="*/ 1646093 w 9638001"/>
                <a:gd name="connsiteY17" fmla="*/ 1243879 h 2000682"/>
                <a:gd name="connsiteX0" fmla="*/ 1640466 w 9638001"/>
                <a:gd name="connsiteY0" fmla="*/ 1236519 h 2000682"/>
                <a:gd name="connsiteX1" fmla="*/ 2378220 w 9638001"/>
                <a:gd name="connsiteY1" fmla="*/ 1250806 h 2000682"/>
                <a:gd name="connsiteX2" fmla="*/ 3292621 w 9638001"/>
                <a:gd name="connsiteY2" fmla="*/ 1194955 h 2000682"/>
                <a:gd name="connsiteX3" fmla="*/ 3770603 w 9638001"/>
                <a:gd name="connsiteY3" fmla="*/ 592282 h 2000682"/>
                <a:gd name="connsiteX4" fmla="*/ 4227802 w 9638001"/>
                <a:gd name="connsiteY4" fmla="*/ 83128 h 2000682"/>
                <a:gd name="connsiteX5" fmla="*/ 6181293 w 9638001"/>
                <a:gd name="connsiteY5" fmla="*/ 0 h 2000682"/>
                <a:gd name="connsiteX6" fmla="*/ 9627613 w 9638001"/>
                <a:gd name="connsiteY6" fmla="*/ 864 h 2000682"/>
                <a:gd name="connsiteX7" fmla="*/ 9638001 w 9638001"/>
                <a:gd name="connsiteY7" fmla="*/ 262236 h 2000682"/>
                <a:gd name="connsiteX8" fmla="*/ 4498494 w 9638001"/>
                <a:gd name="connsiteY8" fmla="*/ 188841 h 2000682"/>
                <a:gd name="connsiteX9" fmla="*/ 3300486 w 9638001"/>
                <a:gd name="connsiteY9" fmla="*/ 1375433 h 2000682"/>
                <a:gd name="connsiteX10" fmla="*/ 1842912 w 9638001"/>
                <a:gd name="connsiteY10" fmla="*/ 1413710 h 2000682"/>
                <a:gd name="connsiteX11" fmla="*/ 1673194 w 9638001"/>
                <a:gd name="connsiteY11" fmla="*/ 1987868 h 2000682"/>
                <a:gd name="connsiteX12" fmla="*/ 51521 w 9638001"/>
                <a:gd name="connsiteY12" fmla="*/ 2000682 h 2000682"/>
                <a:gd name="connsiteX13" fmla="*/ 0 w 9638001"/>
                <a:gd name="connsiteY13" fmla="*/ 1251670 h 2000682"/>
                <a:gd name="connsiteX14" fmla="*/ 192665 w 9638001"/>
                <a:gd name="connsiteY14" fmla="*/ 1247773 h 2000682"/>
                <a:gd name="connsiteX15" fmla="*/ 379701 w 9638001"/>
                <a:gd name="connsiteY15" fmla="*/ 1923184 h 2000682"/>
                <a:gd name="connsiteX16" fmla="*/ 1481138 w 9638001"/>
                <a:gd name="connsiteY16" fmla="*/ 1912793 h 2000682"/>
                <a:gd name="connsiteX17" fmla="*/ 1646093 w 9638001"/>
                <a:gd name="connsiteY17" fmla="*/ 1243879 h 2000682"/>
                <a:gd name="connsiteX0" fmla="*/ 1640466 w 9638001"/>
                <a:gd name="connsiteY0" fmla="*/ 1236519 h 2000682"/>
                <a:gd name="connsiteX1" fmla="*/ 2378220 w 9638001"/>
                <a:gd name="connsiteY1" fmla="*/ 1250806 h 2000682"/>
                <a:gd name="connsiteX2" fmla="*/ 3292621 w 9638001"/>
                <a:gd name="connsiteY2" fmla="*/ 1194955 h 2000682"/>
                <a:gd name="connsiteX3" fmla="*/ 3770603 w 9638001"/>
                <a:gd name="connsiteY3" fmla="*/ 592282 h 2000682"/>
                <a:gd name="connsiteX4" fmla="*/ 4227802 w 9638001"/>
                <a:gd name="connsiteY4" fmla="*/ 83128 h 2000682"/>
                <a:gd name="connsiteX5" fmla="*/ 6181293 w 9638001"/>
                <a:gd name="connsiteY5" fmla="*/ 0 h 2000682"/>
                <a:gd name="connsiteX6" fmla="*/ 9627613 w 9638001"/>
                <a:gd name="connsiteY6" fmla="*/ 864 h 2000682"/>
                <a:gd name="connsiteX7" fmla="*/ 9638001 w 9638001"/>
                <a:gd name="connsiteY7" fmla="*/ 204820 h 2000682"/>
                <a:gd name="connsiteX8" fmla="*/ 4498494 w 9638001"/>
                <a:gd name="connsiteY8" fmla="*/ 188841 h 2000682"/>
                <a:gd name="connsiteX9" fmla="*/ 3300486 w 9638001"/>
                <a:gd name="connsiteY9" fmla="*/ 1375433 h 2000682"/>
                <a:gd name="connsiteX10" fmla="*/ 1842912 w 9638001"/>
                <a:gd name="connsiteY10" fmla="*/ 1413710 h 2000682"/>
                <a:gd name="connsiteX11" fmla="*/ 1673194 w 9638001"/>
                <a:gd name="connsiteY11" fmla="*/ 1987868 h 2000682"/>
                <a:gd name="connsiteX12" fmla="*/ 51521 w 9638001"/>
                <a:gd name="connsiteY12" fmla="*/ 2000682 h 2000682"/>
                <a:gd name="connsiteX13" fmla="*/ 0 w 9638001"/>
                <a:gd name="connsiteY13" fmla="*/ 1251670 h 2000682"/>
                <a:gd name="connsiteX14" fmla="*/ 192665 w 9638001"/>
                <a:gd name="connsiteY14" fmla="*/ 1247773 h 2000682"/>
                <a:gd name="connsiteX15" fmla="*/ 379701 w 9638001"/>
                <a:gd name="connsiteY15" fmla="*/ 1923184 h 2000682"/>
                <a:gd name="connsiteX16" fmla="*/ 1481138 w 9638001"/>
                <a:gd name="connsiteY16" fmla="*/ 1912793 h 2000682"/>
                <a:gd name="connsiteX17" fmla="*/ 1646093 w 9638001"/>
                <a:gd name="connsiteY17" fmla="*/ 1243879 h 2000682"/>
                <a:gd name="connsiteX0" fmla="*/ 1640466 w 9638001"/>
                <a:gd name="connsiteY0" fmla="*/ 1236519 h 2000682"/>
                <a:gd name="connsiteX1" fmla="*/ 2378220 w 9638001"/>
                <a:gd name="connsiteY1" fmla="*/ 1250806 h 2000682"/>
                <a:gd name="connsiteX2" fmla="*/ 3292621 w 9638001"/>
                <a:gd name="connsiteY2" fmla="*/ 1194955 h 2000682"/>
                <a:gd name="connsiteX3" fmla="*/ 3770603 w 9638001"/>
                <a:gd name="connsiteY3" fmla="*/ 592282 h 2000682"/>
                <a:gd name="connsiteX4" fmla="*/ 4227802 w 9638001"/>
                <a:gd name="connsiteY4" fmla="*/ 83128 h 2000682"/>
                <a:gd name="connsiteX5" fmla="*/ 6181293 w 9638001"/>
                <a:gd name="connsiteY5" fmla="*/ 0 h 2000682"/>
                <a:gd name="connsiteX6" fmla="*/ 9627613 w 9638001"/>
                <a:gd name="connsiteY6" fmla="*/ 864 h 2000682"/>
                <a:gd name="connsiteX7" fmla="*/ 9638001 w 9638001"/>
                <a:gd name="connsiteY7" fmla="*/ 204820 h 2000682"/>
                <a:gd name="connsiteX8" fmla="*/ 4498494 w 9638001"/>
                <a:gd name="connsiteY8" fmla="*/ 188841 h 2000682"/>
                <a:gd name="connsiteX9" fmla="*/ 3300486 w 9638001"/>
                <a:gd name="connsiteY9" fmla="*/ 1375433 h 2000682"/>
                <a:gd name="connsiteX10" fmla="*/ 1842912 w 9638001"/>
                <a:gd name="connsiteY10" fmla="*/ 1413710 h 2000682"/>
                <a:gd name="connsiteX11" fmla="*/ 1673194 w 9638001"/>
                <a:gd name="connsiteY11" fmla="*/ 1987868 h 2000682"/>
                <a:gd name="connsiteX12" fmla="*/ 51521 w 9638001"/>
                <a:gd name="connsiteY12" fmla="*/ 2000682 h 2000682"/>
                <a:gd name="connsiteX13" fmla="*/ 0 w 9638001"/>
                <a:gd name="connsiteY13" fmla="*/ 1251670 h 2000682"/>
                <a:gd name="connsiteX14" fmla="*/ 192665 w 9638001"/>
                <a:gd name="connsiteY14" fmla="*/ 1247773 h 2000682"/>
                <a:gd name="connsiteX15" fmla="*/ 379701 w 9638001"/>
                <a:gd name="connsiteY15" fmla="*/ 1923184 h 2000682"/>
                <a:gd name="connsiteX16" fmla="*/ 1481138 w 9638001"/>
                <a:gd name="connsiteY16" fmla="*/ 1912793 h 2000682"/>
                <a:gd name="connsiteX17" fmla="*/ 1646093 w 9638001"/>
                <a:gd name="connsiteY17" fmla="*/ 1243879 h 2000682"/>
                <a:gd name="connsiteX0" fmla="*/ 1640466 w 9638001"/>
                <a:gd name="connsiteY0" fmla="*/ 1236519 h 2000682"/>
                <a:gd name="connsiteX1" fmla="*/ 2378220 w 9638001"/>
                <a:gd name="connsiteY1" fmla="*/ 1250806 h 2000682"/>
                <a:gd name="connsiteX2" fmla="*/ 3292621 w 9638001"/>
                <a:gd name="connsiteY2" fmla="*/ 1194955 h 2000682"/>
                <a:gd name="connsiteX3" fmla="*/ 3770603 w 9638001"/>
                <a:gd name="connsiteY3" fmla="*/ 592282 h 2000682"/>
                <a:gd name="connsiteX4" fmla="*/ 4227802 w 9638001"/>
                <a:gd name="connsiteY4" fmla="*/ 83128 h 2000682"/>
                <a:gd name="connsiteX5" fmla="*/ 6181293 w 9638001"/>
                <a:gd name="connsiteY5" fmla="*/ 0 h 2000682"/>
                <a:gd name="connsiteX6" fmla="*/ 9627613 w 9638001"/>
                <a:gd name="connsiteY6" fmla="*/ 864 h 2000682"/>
                <a:gd name="connsiteX7" fmla="*/ 9638001 w 9638001"/>
                <a:gd name="connsiteY7" fmla="*/ 204820 h 2000682"/>
                <a:gd name="connsiteX8" fmla="*/ 4498494 w 9638001"/>
                <a:gd name="connsiteY8" fmla="*/ 188841 h 2000682"/>
                <a:gd name="connsiteX9" fmla="*/ 3300486 w 9638001"/>
                <a:gd name="connsiteY9" fmla="*/ 1375433 h 2000682"/>
                <a:gd name="connsiteX10" fmla="*/ 1842912 w 9638001"/>
                <a:gd name="connsiteY10" fmla="*/ 1413710 h 2000682"/>
                <a:gd name="connsiteX11" fmla="*/ 1673194 w 9638001"/>
                <a:gd name="connsiteY11" fmla="*/ 1987868 h 2000682"/>
                <a:gd name="connsiteX12" fmla="*/ 51521 w 9638001"/>
                <a:gd name="connsiteY12" fmla="*/ 2000682 h 2000682"/>
                <a:gd name="connsiteX13" fmla="*/ 0 w 9638001"/>
                <a:gd name="connsiteY13" fmla="*/ 1251670 h 2000682"/>
                <a:gd name="connsiteX14" fmla="*/ 192665 w 9638001"/>
                <a:gd name="connsiteY14" fmla="*/ 1247773 h 2000682"/>
                <a:gd name="connsiteX15" fmla="*/ 379701 w 9638001"/>
                <a:gd name="connsiteY15" fmla="*/ 1923184 h 2000682"/>
                <a:gd name="connsiteX16" fmla="*/ 1481138 w 9638001"/>
                <a:gd name="connsiteY16" fmla="*/ 1912793 h 2000682"/>
                <a:gd name="connsiteX17" fmla="*/ 1646093 w 9638001"/>
                <a:gd name="connsiteY17" fmla="*/ 1243879 h 2000682"/>
                <a:gd name="connsiteX0" fmla="*/ 1640466 w 9638001"/>
                <a:gd name="connsiteY0" fmla="*/ 1236519 h 2000682"/>
                <a:gd name="connsiteX1" fmla="*/ 2378220 w 9638001"/>
                <a:gd name="connsiteY1" fmla="*/ 1250806 h 2000682"/>
                <a:gd name="connsiteX2" fmla="*/ 3292621 w 9638001"/>
                <a:gd name="connsiteY2" fmla="*/ 1194955 h 2000682"/>
                <a:gd name="connsiteX3" fmla="*/ 3770603 w 9638001"/>
                <a:gd name="connsiteY3" fmla="*/ 592282 h 2000682"/>
                <a:gd name="connsiteX4" fmla="*/ 4227802 w 9638001"/>
                <a:gd name="connsiteY4" fmla="*/ 83128 h 2000682"/>
                <a:gd name="connsiteX5" fmla="*/ 6181293 w 9638001"/>
                <a:gd name="connsiteY5" fmla="*/ 0 h 2000682"/>
                <a:gd name="connsiteX6" fmla="*/ 9627613 w 9638001"/>
                <a:gd name="connsiteY6" fmla="*/ 864 h 2000682"/>
                <a:gd name="connsiteX7" fmla="*/ 9638001 w 9638001"/>
                <a:gd name="connsiteY7" fmla="*/ 204820 h 2000682"/>
                <a:gd name="connsiteX8" fmla="*/ 4498494 w 9638001"/>
                <a:gd name="connsiteY8" fmla="*/ 188841 h 2000682"/>
                <a:gd name="connsiteX9" fmla="*/ 3300486 w 9638001"/>
                <a:gd name="connsiteY9" fmla="*/ 1375433 h 2000682"/>
                <a:gd name="connsiteX10" fmla="*/ 1842912 w 9638001"/>
                <a:gd name="connsiteY10" fmla="*/ 1413710 h 2000682"/>
                <a:gd name="connsiteX11" fmla="*/ 1673194 w 9638001"/>
                <a:gd name="connsiteY11" fmla="*/ 1987868 h 2000682"/>
                <a:gd name="connsiteX12" fmla="*/ 51521 w 9638001"/>
                <a:gd name="connsiteY12" fmla="*/ 2000682 h 2000682"/>
                <a:gd name="connsiteX13" fmla="*/ 0 w 9638001"/>
                <a:gd name="connsiteY13" fmla="*/ 1251670 h 2000682"/>
                <a:gd name="connsiteX14" fmla="*/ 192665 w 9638001"/>
                <a:gd name="connsiteY14" fmla="*/ 1247773 h 2000682"/>
                <a:gd name="connsiteX15" fmla="*/ 379701 w 9638001"/>
                <a:gd name="connsiteY15" fmla="*/ 1923184 h 2000682"/>
                <a:gd name="connsiteX16" fmla="*/ 1481138 w 9638001"/>
                <a:gd name="connsiteY16" fmla="*/ 1912793 h 2000682"/>
                <a:gd name="connsiteX17" fmla="*/ 1646093 w 9638001"/>
                <a:gd name="connsiteY17" fmla="*/ 1243879 h 2000682"/>
                <a:gd name="connsiteX0" fmla="*/ 1640466 w 12521223"/>
                <a:gd name="connsiteY0" fmla="*/ 1236519 h 2000682"/>
                <a:gd name="connsiteX1" fmla="*/ 2378220 w 12521223"/>
                <a:gd name="connsiteY1" fmla="*/ 1250806 h 2000682"/>
                <a:gd name="connsiteX2" fmla="*/ 3292621 w 12521223"/>
                <a:gd name="connsiteY2" fmla="*/ 1194955 h 2000682"/>
                <a:gd name="connsiteX3" fmla="*/ 3770603 w 12521223"/>
                <a:gd name="connsiteY3" fmla="*/ 592282 h 2000682"/>
                <a:gd name="connsiteX4" fmla="*/ 4227802 w 12521223"/>
                <a:gd name="connsiteY4" fmla="*/ 83128 h 2000682"/>
                <a:gd name="connsiteX5" fmla="*/ 6181293 w 12521223"/>
                <a:gd name="connsiteY5" fmla="*/ 0 h 2000682"/>
                <a:gd name="connsiteX6" fmla="*/ 12521132 w 12521223"/>
                <a:gd name="connsiteY6" fmla="*/ 4552 h 2000682"/>
                <a:gd name="connsiteX7" fmla="*/ 9638001 w 12521223"/>
                <a:gd name="connsiteY7" fmla="*/ 204820 h 2000682"/>
                <a:gd name="connsiteX8" fmla="*/ 4498494 w 12521223"/>
                <a:gd name="connsiteY8" fmla="*/ 188841 h 2000682"/>
                <a:gd name="connsiteX9" fmla="*/ 3300486 w 12521223"/>
                <a:gd name="connsiteY9" fmla="*/ 1375433 h 2000682"/>
                <a:gd name="connsiteX10" fmla="*/ 1842912 w 12521223"/>
                <a:gd name="connsiteY10" fmla="*/ 1413710 h 2000682"/>
                <a:gd name="connsiteX11" fmla="*/ 1673194 w 12521223"/>
                <a:gd name="connsiteY11" fmla="*/ 1987868 h 2000682"/>
                <a:gd name="connsiteX12" fmla="*/ 51521 w 12521223"/>
                <a:gd name="connsiteY12" fmla="*/ 2000682 h 2000682"/>
                <a:gd name="connsiteX13" fmla="*/ 0 w 12521223"/>
                <a:gd name="connsiteY13" fmla="*/ 1251670 h 2000682"/>
                <a:gd name="connsiteX14" fmla="*/ 192665 w 12521223"/>
                <a:gd name="connsiteY14" fmla="*/ 1247773 h 2000682"/>
                <a:gd name="connsiteX15" fmla="*/ 379701 w 12521223"/>
                <a:gd name="connsiteY15" fmla="*/ 1923184 h 2000682"/>
                <a:gd name="connsiteX16" fmla="*/ 1481138 w 12521223"/>
                <a:gd name="connsiteY16" fmla="*/ 1912793 h 2000682"/>
                <a:gd name="connsiteX17" fmla="*/ 1646093 w 12521223"/>
                <a:gd name="connsiteY17" fmla="*/ 1243879 h 2000682"/>
                <a:gd name="connsiteX0" fmla="*/ 1640466 w 12528778"/>
                <a:gd name="connsiteY0" fmla="*/ 1236519 h 2000682"/>
                <a:gd name="connsiteX1" fmla="*/ 2378220 w 12528778"/>
                <a:gd name="connsiteY1" fmla="*/ 1250806 h 2000682"/>
                <a:gd name="connsiteX2" fmla="*/ 3292621 w 12528778"/>
                <a:gd name="connsiteY2" fmla="*/ 1194955 h 2000682"/>
                <a:gd name="connsiteX3" fmla="*/ 3770603 w 12528778"/>
                <a:gd name="connsiteY3" fmla="*/ 592282 h 2000682"/>
                <a:gd name="connsiteX4" fmla="*/ 4227802 w 12528778"/>
                <a:gd name="connsiteY4" fmla="*/ 83128 h 2000682"/>
                <a:gd name="connsiteX5" fmla="*/ 6181293 w 12528778"/>
                <a:gd name="connsiteY5" fmla="*/ 0 h 2000682"/>
                <a:gd name="connsiteX6" fmla="*/ 12521132 w 12528778"/>
                <a:gd name="connsiteY6" fmla="*/ 4552 h 2000682"/>
                <a:gd name="connsiteX7" fmla="*/ 12523824 w 12528778"/>
                <a:gd name="connsiteY7" fmla="*/ 212197 h 2000682"/>
                <a:gd name="connsiteX8" fmla="*/ 4498494 w 12528778"/>
                <a:gd name="connsiteY8" fmla="*/ 188841 h 2000682"/>
                <a:gd name="connsiteX9" fmla="*/ 3300486 w 12528778"/>
                <a:gd name="connsiteY9" fmla="*/ 1375433 h 2000682"/>
                <a:gd name="connsiteX10" fmla="*/ 1842912 w 12528778"/>
                <a:gd name="connsiteY10" fmla="*/ 1413710 h 2000682"/>
                <a:gd name="connsiteX11" fmla="*/ 1673194 w 12528778"/>
                <a:gd name="connsiteY11" fmla="*/ 1987868 h 2000682"/>
                <a:gd name="connsiteX12" fmla="*/ 51521 w 12528778"/>
                <a:gd name="connsiteY12" fmla="*/ 2000682 h 2000682"/>
                <a:gd name="connsiteX13" fmla="*/ 0 w 12528778"/>
                <a:gd name="connsiteY13" fmla="*/ 1251670 h 2000682"/>
                <a:gd name="connsiteX14" fmla="*/ 192665 w 12528778"/>
                <a:gd name="connsiteY14" fmla="*/ 1247773 h 2000682"/>
                <a:gd name="connsiteX15" fmla="*/ 379701 w 12528778"/>
                <a:gd name="connsiteY15" fmla="*/ 1923184 h 2000682"/>
                <a:gd name="connsiteX16" fmla="*/ 1481138 w 12528778"/>
                <a:gd name="connsiteY16" fmla="*/ 1912793 h 2000682"/>
                <a:gd name="connsiteX17" fmla="*/ 1646093 w 12528778"/>
                <a:gd name="connsiteY17" fmla="*/ 1243879 h 2000682"/>
                <a:gd name="connsiteX0" fmla="*/ 1640466 w 12528778"/>
                <a:gd name="connsiteY0" fmla="*/ 1236519 h 2000682"/>
                <a:gd name="connsiteX1" fmla="*/ 2378220 w 12528778"/>
                <a:gd name="connsiteY1" fmla="*/ 1250806 h 2000682"/>
                <a:gd name="connsiteX2" fmla="*/ 3292621 w 12528778"/>
                <a:gd name="connsiteY2" fmla="*/ 1194955 h 2000682"/>
                <a:gd name="connsiteX3" fmla="*/ 3770603 w 12528778"/>
                <a:gd name="connsiteY3" fmla="*/ 592282 h 2000682"/>
                <a:gd name="connsiteX4" fmla="*/ 4227802 w 12528778"/>
                <a:gd name="connsiteY4" fmla="*/ 83128 h 2000682"/>
                <a:gd name="connsiteX5" fmla="*/ 6181293 w 12528778"/>
                <a:gd name="connsiteY5" fmla="*/ 0 h 2000682"/>
                <a:gd name="connsiteX6" fmla="*/ 12521132 w 12528778"/>
                <a:gd name="connsiteY6" fmla="*/ 4552 h 2000682"/>
                <a:gd name="connsiteX7" fmla="*/ 12523824 w 12528778"/>
                <a:gd name="connsiteY7" fmla="*/ 212197 h 2000682"/>
                <a:gd name="connsiteX8" fmla="*/ 4474018 w 12528778"/>
                <a:gd name="connsiteY8" fmla="*/ 209373 h 2000682"/>
                <a:gd name="connsiteX9" fmla="*/ 3300486 w 12528778"/>
                <a:gd name="connsiteY9" fmla="*/ 1375433 h 2000682"/>
                <a:gd name="connsiteX10" fmla="*/ 1842912 w 12528778"/>
                <a:gd name="connsiteY10" fmla="*/ 1413710 h 2000682"/>
                <a:gd name="connsiteX11" fmla="*/ 1673194 w 12528778"/>
                <a:gd name="connsiteY11" fmla="*/ 1987868 h 2000682"/>
                <a:gd name="connsiteX12" fmla="*/ 51521 w 12528778"/>
                <a:gd name="connsiteY12" fmla="*/ 2000682 h 2000682"/>
                <a:gd name="connsiteX13" fmla="*/ 0 w 12528778"/>
                <a:gd name="connsiteY13" fmla="*/ 1251670 h 2000682"/>
                <a:gd name="connsiteX14" fmla="*/ 192665 w 12528778"/>
                <a:gd name="connsiteY14" fmla="*/ 1247773 h 2000682"/>
                <a:gd name="connsiteX15" fmla="*/ 379701 w 12528778"/>
                <a:gd name="connsiteY15" fmla="*/ 1923184 h 2000682"/>
                <a:gd name="connsiteX16" fmla="*/ 1481138 w 12528778"/>
                <a:gd name="connsiteY16" fmla="*/ 1912793 h 2000682"/>
                <a:gd name="connsiteX17" fmla="*/ 1646093 w 12528778"/>
                <a:gd name="connsiteY17" fmla="*/ 1243879 h 2000682"/>
                <a:gd name="connsiteX0" fmla="*/ 1640466 w 12523824"/>
                <a:gd name="connsiteY0" fmla="*/ 1236519 h 2000682"/>
                <a:gd name="connsiteX1" fmla="*/ 2378220 w 12523824"/>
                <a:gd name="connsiteY1" fmla="*/ 1250806 h 2000682"/>
                <a:gd name="connsiteX2" fmla="*/ 3292621 w 12523824"/>
                <a:gd name="connsiteY2" fmla="*/ 1194955 h 2000682"/>
                <a:gd name="connsiteX3" fmla="*/ 3770603 w 12523824"/>
                <a:gd name="connsiteY3" fmla="*/ 592282 h 2000682"/>
                <a:gd name="connsiteX4" fmla="*/ 4227802 w 12523824"/>
                <a:gd name="connsiteY4" fmla="*/ 83128 h 2000682"/>
                <a:gd name="connsiteX5" fmla="*/ 6181293 w 12523824"/>
                <a:gd name="connsiteY5" fmla="*/ 0 h 2000682"/>
                <a:gd name="connsiteX6" fmla="*/ 11781768 w 12523824"/>
                <a:gd name="connsiteY6" fmla="*/ 12352 h 2000682"/>
                <a:gd name="connsiteX7" fmla="*/ 12523824 w 12523824"/>
                <a:gd name="connsiteY7" fmla="*/ 212197 h 2000682"/>
                <a:gd name="connsiteX8" fmla="*/ 4474018 w 12523824"/>
                <a:gd name="connsiteY8" fmla="*/ 209373 h 2000682"/>
                <a:gd name="connsiteX9" fmla="*/ 3300486 w 12523824"/>
                <a:gd name="connsiteY9" fmla="*/ 1375433 h 2000682"/>
                <a:gd name="connsiteX10" fmla="*/ 1842912 w 12523824"/>
                <a:gd name="connsiteY10" fmla="*/ 1413710 h 2000682"/>
                <a:gd name="connsiteX11" fmla="*/ 1673194 w 12523824"/>
                <a:gd name="connsiteY11" fmla="*/ 1987868 h 2000682"/>
                <a:gd name="connsiteX12" fmla="*/ 51521 w 12523824"/>
                <a:gd name="connsiteY12" fmla="*/ 2000682 h 2000682"/>
                <a:gd name="connsiteX13" fmla="*/ 0 w 12523824"/>
                <a:gd name="connsiteY13" fmla="*/ 1251670 h 2000682"/>
                <a:gd name="connsiteX14" fmla="*/ 192665 w 12523824"/>
                <a:gd name="connsiteY14" fmla="*/ 1247773 h 2000682"/>
                <a:gd name="connsiteX15" fmla="*/ 379701 w 12523824"/>
                <a:gd name="connsiteY15" fmla="*/ 1923184 h 2000682"/>
                <a:gd name="connsiteX16" fmla="*/ 1481138 w 12523824"/>
                <a:gd name="connsiteY16" fmla="*/ 1912793 h 2000682"/>
                <a:gd name="connsiteX17" fmla="*/ 1646093 w 12523824"/>
                <a:gd name="connsiteY17" fmla="*/ 1243879 h 2000682"/>
                <a:gd name="connsiteX0" fmla="*/ 1640466 w 11832944"/>
                <a:gd name="connsiteY0" fmla="*/ 1236519 h 2000682"/>
                <a:gd name="connsiteX1" fmla="*/ 2378220 w 11832944"/>
                <a:gd name="connsiteY1" fmla="*/ 1250806 h 2000682"/>
                <a:gd name="connsiteX2" fmla="*/ 3292621 w 11832944"/>
                <a:gd name="connsiteY2" fmla="*/ 1194955 h 2000682"/>
                <a:gd name="connsiteX3" fmla="*/ 3770603 w 11832944"/>
                <a:gd name="connsiteY3" fmla="*/ 592282 h 2000682"/>
                <a:gd name="connsiteX4" fmla="*/ 4227802 w 11832944"/>
                <a:gd name="connsiteY4" fmla="*/ 83128 h 2000682"/>
                <a:gd name="connsiteX5" fmla="*/ 6181293 w 11832944"/>
                <a:gd name="connsiteY5" fmla="*/ 0 h 2000682"/>
                <a:gd name="connsiteX6" fmla="*/ 11781768 w 11832944"/>
                <a:gd name="connsiteY6" fmla="*/ 12352 h 2000682"/>
                <a:gd name="connsiteX7" fmla="*/ 11832944 w 11832944"/>
                <a:gd name="connsiteY7" fmla="*/ 212197 h 2000682"/>
                <a:gd name="connsiteX8" fmla="*/ 4474018 w 11832944"/>
                <a:gd name="connsiteY8" fmla="*/ 209373 h 2000682"/>
                <a:gd name="connsiteX9" fmla="*/ 3300486 w 11832944"/>
                <a:gd name="connsiteY9" fmla="*/ 1375433 h 2000682"/>
                <a:gd name="connsiteX10" fmla="*/ 1842912 w 11832944"/>
                <a:gd name="connsiteY10" fmla="*/ 1413710 h 2000682"/>
                <a:gd name="connsiteX11" fmla="*/ 1673194 w 11832944"/>
                <a:gd name="connsiteY11" fmla="*/ 1987868 h 2000682"/>
                <a:gd name="connsiteX12" fmla="*/ 51521 w 11832944"/>
                <a:gd name="connsiteY12" fmla="*/ 2000682 h 2000682"/>
                <a:gd name="connsiteX13" fmla="*/ 0 w 11832944"/>
                <a:gd name="connsiteY13" fmla="*/ 1251670 h 2000682"/>
                <a:gd name="connsiteX14" fmla="*/ 192665 w 11832944"/>
                <a:gd name="connsiteY14" fmla="*/ 1247773 h 2000682"/>
                <a:gd name="connsiteX15" fmla="*/ 379701 w 11832944"/>
                <a:gd name="connsiteY15" fmla="*/ 1923184 h 2000682"/>
                <a:gd name="connsiteX16" fmla="*/ 1481138 w 11832944"/>
                <a:gd name="connsiteY16" fmla="*/ 1912793 h 2000682"/>
                <a:gd name="connsiteX17" fmla="*/ 1646093 w 11832944"/>
                <a:gd name="connsiteY17" fmla="*/ 1243879 h 2000682"/>
                <a:gd name="connsiteX0" fmla="*/ 1640466 w 11832944"/>
                <a:gd name="connsiteY0" fmla="*/ 1236519 h 2000682"/>
                <a:gd name="connsiteX1" fmla="*/ 2378220 w 11832944"/>
                <a:gd name="connsiteY1" fmla="*/ 1250806 h 2000682"/>
                <a:gd name="connsiteX2" fmla="*/ 3292621 w 11832944"/>
                <a:gd name="connsiteY2" fmla="*/ 1194955 h 2000682"/>
                <a:gd name="connsiteX3" fmla="*/ 3770603 w 11832944"/>
                <a:gd name="connsiteY3" fmla="*/ 592282 h 2000682"/>
                <a:gd name="connsiteX4" fmla="*/ 4227802 w 11832944"/>
                <a:gd name="connsiteY4" fmla="*/ 83128 h 2000682"/>
                <a:gd name="connsiteX5" fmla="*/ 6181293 w 11832944"/>
                <a:gd name="connsiteY5" fmla="*/ 0 h 2000682"/>
                <a:gd name="connsiteX6" fmla="*/ 11823027 w 11832944"/>
                <a:gd name="connsiteY6" fmla="*/ 15660 h 2000682"/>
                <a:gd name="connsiteX7" fmla="*/ 11832944 w 11832944"/>
                <a:gd name="connsiteY7" fmla="*/ 212197 h 2000682"/>
                <a:gd name="connsiteX8" fmla="*/ 4474018 w 11832944"/>
                <a:gd name="connsiteY8" fmla="*/ 209373 h 2000682"/>
                <a:gd name="connsiteX9" fmla="*/ 3300486 w 11832944"/>
                <a:gd name="connsiteY9" fmla="*/ 1375433 h 2000682"/>
                <a:gd name="connsiteX10" fmla="*/ 1842912 w 11832944"/>
                <a:gd name="connsiteY10" fmla="*/ 1413710 h 2000682"/>
                <a:gd name="connsiteX11" fmla="*/ 1673194 w 11832944"/>
                <a:gd name="connsiteY11" fmla="*/ 1987868 h 2000682"/>
                <a:gd name="connsiteX12" fmla="*/ 51521 w 11832944"/>
                <a:gd name="connsiteY12" fmla="*/ 2000682 h 2000682"/>
                <a:gd name="connsiteX13" fmla="*/ 0 w 11832944"/>
                <a:gd name="connsiteY13" fmla="*/ 1251670 h 2000682"/>
                <a:gd name="connsiteX14" fmla="*/ 192665 w 11832944"/>
                <a:gd name="connsiteY14" fmla="*/ 1247773 h 2000682"/>
                <a:gd name="connsiteX15" fmla="*/ 379701 w 11832944"/>
                <a:gd name="connsiteY15" fmla="*/ 1923184 h 2000682"/>
                <a:gd name="connsiteX16" fmla="*/ 1481138 w 11832944"/>
                <a:gd name="connsiteY16" fmla="*/ 1912793 h 2000682"/>
                <a:gd name="connsiteX17" fmla="*/ 1646093 w 11832944"/>
                <a:gd name="connsiteY17" fmla="*/ 1243879 h 2000682"/>
                <a:gd name="connsiteX0" fmla="*/ 1640466 w 11832944"/>
                <a:gd name="connsiteY0" fmla="*/ 1236519 h 2000682"/>
                <a:gd name="connsiteX1" fmla="*/ 2378220 w 11832944"/>
                <a:gd name="connsiteY1" fmla="*/ 1250806 h 2000682"/>
                <a:gd name="connsiteX2" fmla="*/ 3292621 w 11832944"/>
                <a:gd name="connsiteY2" fmla="*/ 1194955 h 2000682"/>
                <a:gd name="connsiteX3" fmla="*/ 3770603 w 11832944"/>
                <a:gd name="connsiteY3" fmla="*/ 592282 h 2000682"/>
                <a:gd name="connsiteX4" fmla="*/ 4227802 w 11832944"/>
                <a:gd name="connsiteY4" fmla="*/ 83128 h 2000682"/>
                <a:gd name="connsiteX5" fmla="*/ 6181293 w 11832944"/>
                <a:gd name="connsiteY5" fmla="*/ 0 h 2000682"/>
                <a:gd name="connsiteX6" fmla="*/ 11823027 w 11832944"/>
                <a:gd name="connsiteY6" fmla="*/ 15660 h 2000682"/>
                <a:gd name="connsiteX7" fmla="*/ 11832944 w 11832944"/>
                <a:gd name="connsiteY7" fmla="*/ 212197 h 2000682"/>
                <a:gd name="connsiteX8" fmla="*/ 4474018 w 11832944"/>
                <a:gd name="connsiteY8" fmla="*/ 209373 h 2000682"/>
                <a:gd name="connsiteX9" fmla="*/ 3300486 w 11832944"/>
                <a:gd name="connsiteY9" fmla="*/ 1375433 h 2000682"/>
                <a:gd name="connsiteX10" fmla="*/ 1842912 w 11832944"/>
                <a:gd name="connsiteY10" fmla="*/ 1413710 h 2000682"/>
                <a:gd name="connsiteX11" fmla="*/ 1673194 w 11832944"/>
                <a:gd name="connsiteY11" fmla="*/ 1987868 h 2000682"/>
                <a:gd name="connsiteX12" fmla="*/ 51521 w 11832944"/>
                <a:gd name="connsiteY12" fmla="*/ 2000682 h 2000682"/>
                <a:gd name="connsiteX13" fmla="*/ 0 w 11832944"/>
                <a:gd name="connsiteY13" fmla="*/ 1251670 h 2000682"/>
                <a:gd name="connsiteX14" fmla="*/ 208500 w 11832944"/>
                <a:gd name="connsiteY14" fmla="*/ 1295555 h 2000682"/>
                <a:gd name="connsiteX15" fmla="*/ 379701 w 11832944"/>
                <a:gd name="connsiteY15" fmla="*/ 1923184 h 2000682"/>
                <a:gd name="connsiteX16" fmla="*/ 1481138 w 11832944"/>
                <a:gd name="connsiteY16" fmla="*/ 1912793 h 2000682"/>
                <a:gd name="connsiteX17" fmla="*/ 1646093 w 11832944"/>
                <a:gd name="connsiteY17" fmla="*/ 1243879 h 2000682"/>
                <a:gd name="connsiteX0" fmla="*/ 1640466 w 11832944"/>
                <a:gd name="connsiteY0" fmla="*/ 1236519 h 2000682"/>
                <a:gd name="connsiteX1" fmla="*/ 2378220 w 11832944"/>
                <a:gd name="connsiteY1" fmla="*/ 1250806 h 2000682"/>
                <a:gd name="connsiteX2" fmla="*/ 3292621 w 11832944"/>
                <a:gd name="connsiteY2" fmla="*/ 1194955 h 2000682"/>
                <a:gd name="connsiteX3" fmla="*/ 3770603 w 11832944"/>
                <a:gd name="connsiteY3" fmla="*/ 592282 h 2000682"/>
                <a:gd name="connsiteX4" fmla="*/ 4227802 w 11832944"/>
                <a:gd name="connsiteY4" fmla="*/ 83128 h 2000682"/>
                <a:gd name="connsiteX5" fmla="*/ 6181293 w 11832944"/>
                <a:gd name="connsiteY5" fmla="*/ 0 h 2000682"/>
                <a:gd name="connsiteX6" fmla="*/ 11823027 w 11832944"/>
                <a:gd name="connsiteY6" fmla="*/ 15660 h 2000682"/>
                <a:gd name="connsiteX7" fmla="*/ 11832944 w 11832944"/>
                <a:gd name="connsiteY7" fmla="*/ 212197 h 2000682"/>
                <a:gd name="connsiteX8" fmla="*/ 4474018 w 11832944"/>
                <a:gd name="connsiteY8" fmla="*/ 209373 h 2000682"/>
                <a:gd name="connsiteX9" fmla="*/ 3300486 w 11832944"/>
                <a:gd name="connsiteY9" fmla="*/ 1375433 h 2000682"/>
                <a:gd name="connsiteX10" fmla="*/ 1842912 w 11832944"/>
                <a:gd name="connsiteY10" fmla="*/ 1413710 h 2000682"/>
                <a:gd name="connsiteX11" fmla="*/ 1673194 w 11832944"/>
                <a:gd name="connsiteY11" fmla="*/ 1987868 h 2000682"/>
                <a:gd name="connsiteX12" fmla="*/ 51521 w 11832944"/>
                <a:gd name="connsiteY12" fmla="*/ 2000682 h 2000682"/>
                <a:gd name="connsiteX13" fmla="*/ 0 w 11832944"/>
                <a:gd name="connsiteY13" fmla="*/ 1289213 h 2000682"/>
                <a:gd name="connsiteX14" fmla="*/ 208500 w 11832944"/>
                <a:gd name="connsiteY14" fmla="*/ 1295555 h 2000682"/>
                <a:gd name="connsiteX15" fmla="*/ 379701 w 11832944"/>
                <a:gd name="connsiteY15" fmla="*/ 1923184 h 2000682"/>
                <a:gd name="connsiteX16" fmla="*/ 1481138 w 11832944"/>
                <a:gd name="connsiteY16" fmla="*/ 1912793 h 2000682"/>
                <a:gd name="connsiteX17" fmla="*/ 1646093 w 11832944"/>
                <a:gd name="connsiteY17" fmla="*/ 1243879 h 20006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11832944" h="2000682">
                  <a:moveTo>
                    <a:pt x="1640466" y="1236519"/>
                  </a:moveTo>
                  <a:cubicBezTo>
                    <a:pt x="1886384" y="1236519"/>
                    <a:pt x="2102861" y="1248208"/>
                    <a:pt x="2378220" y="1250806"/>
                  </a:cubicBezTo>
                  <a:cubicBezTo>
                    <a:pt x="2653579" y="1253404"/>
                    <a:pt x="3060557" y="1304709"/>
                    <a:pt x="3292621" y="1194955"/>
                  </a:cubicBezTo>
                  <a:cubicBezTo>
                    <a:pt x="3524685" y="1085201"/>
                    <a:pt x="3645911" y="808759"/>
                    <a:pt x="3770603" y="592282"/>
                  </a:cubicBezTo>
                  <a:cubicBezTo>
                    <a:pt x="3895295" y="375805"/>
                    <a:pt x="3826020" y="181842"/>
                    <a:pt x="4227802" y="83128"/>
                  </a:cubicBezTo>
                  <a:cubicBezTo>
                    <a:pt x="4629584" y="-15586"/>
                    <a:pt x="5354061" y="17174"/>
                    <a:pt x="6181293" y="0"/>
                  </a:cubicBezTo>
                  <a:lnTo>
                    <a:pt x="11823027" y="15660"/>
                  </a:lnTo>
                  <a:cubicBezTo>
                    <a:pt x="11841909" y="8291"/>
                    <a:pt x="11826253" y="184318"/>
                    <a:pt x="11832944" y="212197"/>
                  </a:cubicBezTo>
                  <a:cubicBezTo>
                    <a:pt x="11784114" y="214322"/>
                    <a:pt x="6097337" y="211509"/>
                    <a:pt x="4474018" y="209373"/>
                  </a:cubicBezTo>
                  <a:cubicBezTo>
                    <a:pt x="4025089" y="224252"/>
                    <a:pt x="3859557" y="1238273"/>
                    <a:pt x="3300486" y="1375433"/>
                  </a:cubicBezTo>
                  <a:cubicBezTo>
                    <a:pt x="3240585" y="1378623"/>
                    <a:pt x="1872862" y="1416900"/>
                    <a:pt x="1842912" y="1413710"/>
                  </a:cubicBezTo>
                  <a:cubicBezTo>
                    <a:pt x="1861217" y="1416899"/>
                    <a:pt x="1680577" y="1977758"/>
                    <a:pt x="1673194" y="1987868"/>
                  </a:cubicBezTo>
                  <a:cubicBezTo>
                    <a:pt x="1694097" y="1983624"/>
                    <a:pt x="47524" y="1976653"/>
                    <a:pt x="51521" y="2000682"/>
                  </a:cubicBezTo>
                  <a:cubicBezTo>
                    <a:pt x="-11690" y="1733549"/>
                    <a:pt x="72736" y="1583623"/>
                    <a:pt x="0" y="1289213"/>
                  </a:cubicBezTo>
                  <a:cubicBezTo>
                    <a:pt x="64222" y="1287914"/>
                    <a:pt x="144278" y="1296854"/>
                    <a:pt x="208500" y="1295555"/>
                  </a:cubicBezTo>
                  <a:cubicBezTo>
                    <a:pt x="333191" y="1690410"/>
                    <a:pt x="310428" y="1704975"/>
                    <a:pt x="379701" y="1923184"/>
                  </a:cubicBezTo>
                  <a:cubicBezTo>
                    <a:pt x="615228" y="1912794"/>
                    <a:pt x="1283133" y="1916401"/>
                    <a:pt x="1481138" y="1912793"/>
                  </a:cubicBezTo>
                  <a:lnTo>
                    <a:pt x="1646093" y="1243879"/>
                  </a:lnTo>
                </a:path>
              </a:pathLst>
            </a:custGeom>
            <a:solidFill>
              <a:schemeClr val="accent6">
                <a:lumMod val="20000"/>
                <a:lumOff val="80000"/>
              </a:schemeClr>
            </a:solidFill>
            <a:ln w="12700">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35" name="Rectangle 34">
              <a:extLst>
                <a:ext uri="{FF2B5EF4-FFF2-40B4-BE49-F238E27FC236}">
                  <a16:creationId xmlns:a16="http://schemas.microsoft.com/office/drawing/2014/main" id="{669E5D4F-EACC-4979-B0FA-5EE24B375F0B}"/>
                </a:ext>
              </a:extLst>
            </xdr:cNvPr>
            <xdr:cNvSpPr/>
          </xdr:nvSpPr>
          <xdr:spPr>
            <a:xfrm rot="7181360">
              <a:off x="3140491" y="3714667"/>
              <a:ext cx="931714" cy="49749"/>
            </a:xfrm>
            <a:prstGeom prst="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36" name="Trapezoid 35">
              <a:extLst>
                <a:ext uri="{FF2B5EF4-FFF2-40B4-BE49-F238E27FC236}">
                  <a16:creationId xmlns:a16="http://schemas.microsoft.com/office/drawing/2014/main" id="{9EA559FD-564D-4123-B0C3-5786F4835C29}"/>
                </a:ext>
              </a:extLst>
            </xdr:cNvPr>
            <xdr:cNvSpPr/>
          </xdr:nvSpPr>
          <xdr:spPr>
            <a:xfrm>
              <a:off x="2042605" y="4351117"/>
              <a:ext cx="291313" cy="142568"/>
            </a:xfrm>
            <a:prstGeom prst="trapezoid">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37" name="Freeform: Shape 36">
              <a:extLst>
                <a:ext uri="{FF2B5EF4-FFF2-40B4-BE49-F238E27FC236}">
                  <a16:creationId xmlns:a16="http://schemas.microsoft.com/office/drawing/2014/main" id="{E5AE1388-D2A8-457E-99C3-8E360B8EC37E}"/>
                </a:ext>
              </a:extLst>
            </xdr:cNvPr>
            <xdr:cNvSpPr/>
          </xdr:nvSpPr>
          <xdr:spPr>
            <a:xfrm>
              <a:off x="4312596" y="2301799"/>
              <a:ext cx="1966392" cy="286486"/>
            </a:xfrm>
            <a:custGeom>
              <a:avLst/>
              <a:gdLst>
                <a:gd name="connsiteX0" fmla="*/ 0 w 2649682"/>
                <a:gd name="connsiteY0" fmla="*/ 332790 h 332790"/>
                <a:gd name="connsiteX1" fmla="*/ 1288473 w 2649682"/>
                <a:gd name="connsiteY1" fmla="*/ 281 h 332790"/>
                <a:gd name="connsiteX2" fmla="*/ 2649682 w 2649682"/>
                <a:gd name="connsiteY2" fmla="*/ 270444 h 332790"/>
                <a:gd name="connsiteX3" fmla="*/ 2649682 w 2649682"/>
                <a:gd name="connsiteY3" fmla="*/ 270444 h 332790"/>
              </a:gdLst>
              <a:ahLst/>
              <a:cxnLst>
                <a:cxn ang="0">
                  <a:pos x="connsiteX0" y="connsiteY0"/>
                </a:cxn>
                <a:cxn ang="0">
                  <a:pos x="connsiteX1" y="connsiteY1"/>
                </a:cxn>
                <a:cxn ang="0">
                  <a:pos x="connsiteX2" y="connsiteY2"/>
                </a:cxn>
                <a:cxn ang="0">
                  <a:pos x="connsiteX3" y="connsiteY3"/>
                </a:cxn>
              </a:cxnLst>
              <a:rect l="l" t="t" r="r" b="b"/>
              <a:pathLst>
                <a:path w="2649682" h="332790">
                  <a:moveTo>
                    <a:pt x="0" y="332790"/>
                  </a:moveTo>
                  <a:cubicBezTo>
                    <a:pt x="423429" y="171731"/>
                    <a:pt x="846859" y="10672"/>
                    <a:pt x="1288473" y="281"/>
                  </a:cubicBezTo>
                  <a:cubicBezTo>
                    <a:pt x="1730087" y="-10110"/>
                    <a:pt x="2649682" y="270444"/>
                    <a:pt x="2649682" y="270444"/>
                  </a:cubicBezTo>
                  <a:lnTo>
                    <a:pt x="2649682" y="270444"/>
                  </a:lnTo>
                </a:path>
              </a:pathLst>
            </a:custGeom>
            <a:noFill/>
            <a:ln w="539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38" name="Freeform: Shape 37">
              <a:extLst>
                <a:ext uri="{FF2B5EF4-FFF2-40B4-BE49-F238E27FC236}">
                  <a16:creationId xmlns:a16="http://schemas.microsoft.com/office/drawing/2014/main" id="{6DA34644-AF4B-41C4-B799-19EBB09CFE01}"/>
                </a:ext>
              </a:extLst>
            </xdr:cNvPr>
            <xdr:cNvSpPr/>
          </xdr:nvSpPr>
          <xdr:spPr>
            <a:xfrm>
              <a:off x="4344108" y="2570394"/>
              <a:ext cx="1926308" cy="31683"/>
            </a:xfrm>
            <a:custGeom>
              <a:avLst/>
              <a:gdLst>
                <a:gd name="connsiteX0" fmla="*/ 0 w 2317173"/>
                <a:gd name="connsiteY0" fmla="*/ 31173 h 31173"/>
                <a:gd name="connsiteX1" fmla="*/ 1340427 w 2317173"/>
                <a:gd name="connsiteY1" fmla="*/ 31173 h 31173"/>
                <a:gd name="connsiteX2" fmla="*/ 2317173 w 2317173"/>
                <a:gd name="connsiteY2" fmla="*/ 0 h 31173"/>
                <a:gd name="connsiteX3" fmla="*/ 2317173 w 2317173"/>
                <a:gd name="connsiteY3" fmla="*/ 0 h 31173"/>
              </a:gdLst>
              <a:ahLst/>
              <a:cxnLst>
                <a:cxn ang="0">
                  <a:pos x="connsiteX0" y="connsiteY0"/>
                </a:cxn>
                <a:cxn ang="0">
                  <a:pos x="connsiteX1" y="connsiteY1"/>
                </a:cxn>
                <a:cxn ang="0">
                  <a:pos x="connsiteX2" y="connsiteY2"/>
                </a:cxn>
                <a:cxn ang="0">
                  <a:pos x="connsiteX3" y="connsiteY3"/>
                </a:cxn>
              </a:cxnLst>
              <a:rect l="l" t="t" r="r" b="b"/>
              <a:pathLst>
                <a:path w="2317173" h="31173">
                  <a:moveTo>
                    <a:pt x="0" y="31173"/>
                  </a:moveTo>
                  <a:lnTo>
                    <a:pt x="1340427" y="31173"/>
                  </a:lnTo>
                  <a:cubicBezTo>
                    <a:pt x="1726622" y="25978"/>
                    <a:pt x="2317173" y="0"/>
                    <a:pt x="2317173" y="0"/>
                  </a:cubicBezTo>
                  <a:lnTo>
                    <a:pt x="2317173" y="0"/>
                  </a:lnTo>
                </a:path>
              </a:pathLst>
            </a:cu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39" name="Straight Connector 38">
              <a:extLst>
                <a:ext uri="{FF2B5EF4-FFF2-40B4-BE49-F238E27FC236}">
                  <a16:creationId xmlns:a16="http://schemas.microsoft.com/office/drawing/2014/main" id="{144EDA4A-A2D3-4EFB-BC22-425B2D428579}"/>
                </a:ext>
              </a:extLst>
            </xdr:cNvPr>
            <xdr:cNvCxnSpPr>
              <a:cxnSpLocks/>
            </xdr:cNvCxnSpPr>
          </xdr:nvCxnSpPr>
          <xdr:spPr>
            <a:xfrm>
              <a:off x="6021765" y="2445042"/>
              <a:ext cx="1158" cy="796256"/>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D3D779AB-1782-4308-AD35-97E2BD1C103A}"/>
                </a:ext>
              </a:extLst>
            </xdr:cNvPr>
            <xdr:cNvCxnSpPr>
              <a:cxnSpLocks/>
              <a:stCxn id="45" idx="0"/>
            </xdr:cNvCxnSpPr>
          </xdr:nvCxnSpPr>
          <xdr:spPr>
            <a:xfrm flipH="1">
              <a:off x="6031497" y="2554727"/>
              <a:ext cx="259398" cy="686571"/>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3EF4E696-0B01-4D86-B558-E517973C1D34}"/>
                </a:ext>
              </a:extLst>
            </xdr:cNvPr>
            <xdr:cNvCxnSpPr>
              <a:cxnSpLocks/>
            </xdr:cNvCxnSpPr>
          </xdr:nvCxnSpPr>
          <xdr:spPr>
            <a:xfrm flipH="1">
              <a:off x="6025698" y="2755027"/>
              <a:ext cx="189011" cy="0"/>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96F53AE3-1CFF-4399-BBA0-2A83A0F15F48}"/>
                </a:ext>
              </a:extLst>
            </xdr:cNvPr>
            <xdr:cNvCxnSpPr>
              <a:cxnSpLocks/>
            </xdr:cNvCxnSpPr>
          </xdr:nvCxnSpPr>
          <xdr:spPr>
            <a:xfrm flipH="1">
              <a:off x="6015507" y="2965750"/>
              <a:ext cx="113477" cy="0"/>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43" name="Rectangle: Rounded Corners 42">
              <a:extLst>
                <a:ext uri="{FF2B5EF4-FFF2-40B4-BE49-F238E27FC236}">
                  <a16:creationId xmlns:a16="http://schemas.microsoft.com/office/drawing/2014/main" id="{706A37FE-D79A-4126-B4DF-2156377401FC}"/>
                </a:ext>
              </a:extLst>
            </xdr:cNvPr>
            <xdr:cNvSpPr/>
          </xdr:nvSpPr>
          <xdr:spPr>
            <a:xfrm>
              <a:off x="6053511" y="3103043"/>
              <a:ext cx="112118" cy="321082"/>
            </a:xfrm>
            <a:prstGeom prst="roundRect">
              <a:avLst/>
            </a:prstGeom>
            <a:solidFill>
              <a:schemeClr val="tx1">
                <a:lumMod val="85000"/>
                <a:lumOff val="15000"/>
              </a:schemeClr>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44" name="Freeform: Shape 43">
              <a:extLst>
                <a:ext uri="{FF2B5EF4-FFF2-40B4-BE49-F238E27FC236}">
                  <a16:creationId xmlns:a16="http://schemas.microsoft.com/office/drawing/2014/main" id="{D24AA1B2-74C6-4D0A-8436-41CC2228E3E0}"/>
                </a:ext>
              </a:extLst>
            </xdr:cNvPr>
            <xdr:cNvSpPr/>
          </xdr:nvSpPr>
          <xdr:spPr>
            <a:xfrm>
              <a:off x="6265173" y="2259295"/>
              <a:ext cx="1946322" cy="286486"/>
            </a:xfrm>
            <a:custGeom>
              <a:avLst/>
              <a:gdLst>
                <a:gd name="connsiteX0" fmla="*/ 0 w 2649682"/>
                <a:gd name="connsiteY0" fmla="*/ 332790 h 332790"/>
                <a:gd name="connsiteX1" fmla="*/ 1288473 w 2649682"/>
                <a:gd name="connsiteY1" fmla="*/ 281 h 332790"/>
                <a:gd name="connsiteX2" fmla="*/ 2649682 w 2649682"/>
                <a:gd name="connsiteY2" fmla="*/ 270444 h 332790"/>
                <a:gd name="connsiteX3" fmla="*/ 2649682 w 2649682"/>
                <a:gd name="connsiteY3" fmla="*/ 270444 h 332790"/>
              </a:gdLst>
              <a:ahLst/>
              <a:cxnLst>
                <a:cxn ang="0">
                  <a:pos x="connsiteX0" y="connsiteY0"/>
                </a:cxn>
                <a:cxn ang="0">
                  <a:pos x="connsiteX1" y="connsiteY1"/>
                </a:cxn>
                <a:cxn ang="0">
                  <a:pos x="connsiteX2" y="connsiteY2"/>
                </a:cxn>
                <a:cxn ang="0">
                  <a:pos x="connsiteX3" y="connsiteY3"/>
                </a:cxn>
              </a:cxnLst>
              <a:rect l="l" t="t" r="r" b="b"/>
              <a:pathLst>
                <a:path w="2649682" h="332790">
                  <a:moveTo>
                    <a:pt x="0" y="332790"/>
                  </a:moveTo>
                  <a:cubicBezTo>
                    <a:pt x="423429" y="171731"/>
                    <a:pt x="846859" y="10672"/>
                    <a:pt x="1288473" y="281"/>
                  </a:cubicBezTo>
                  <a:cubicBezTo>
                    <a:pt x="1730087" y="-10110"/>
                    <a:pt x="2649682" y="270444"/>
                    <a:pt x="2649682" y="270444"/>
                  </a:cubicBezTo>
                  <a:lnTo>
                    <a:pt x="2649682" y="270444"/>
                  </a:lnTo>
                </a:path>
              </a:pathLst>
            </a:custGeom>
            <a:noFill/>
            <a:ln w="539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45" name="Freeform: Shape 44">
              <a:extLst>
                <a:ext uri="{FF2B5EF4-FFF2-40B4-BE49-F238E27FC236}">
                  <a16:creationId xmlns:a16="http://schemas.microsoft.com/office/drawing/2014/main" id="{B3C8CEF0-B9EC-4E0A-A6A3-15BB436C8E4B}"/>
                </a:ext>
              </a:extLst>
            </xdr:cNvPr>
            <xdr:cNvSpPr/>
          </xdr:nvSpPr>
          <xdr:spPr>
            <a:xfrm>
              <a:off x="6290895" y="2527891"/>
              <a:ext cx="1912026" cy="26836"/>
            </a:xfrm>
            <a:custGeom>
              <a:avLst/>
              <a:gdLst>
                <a:gd name="connsiteX0" fmla="*/ 0 w 2317173"/>
                <a:gd name="connsiteY0" fmla="*/ 31173 h 31173"/>
                <a:gd name="connsiteX1" fmla="*/ 1340427 w 2317173"/>
                <a:gd name="connsiteY1" fmla="*/ 31173 h 31173"/>
                <a:gd name="connsiteX2" fmla="*/ 2317173 w 2317173"/>
                <a:gd name="connsiteY2" fmla="*/ 0 h 31173"/>
                <a:gd name="connsiteX3" fmla="*/ 2317173 w 2317173"/>
                <a:gd name="connsiteY3" fmla="*/ 0 h 31173"/>
              </a:gdLst>
              <a:ahLst/>
              <a:cxnLst>
                <a:cxn ang="0">
                  <a:pos x="connsiteX0" y="connsiteY0"/>
                </a:cxn>
                <a:cxn ang="0">
                  <a:pos x="connsiteX1" y="connsiteY1"/>
                </a:cxn>
                <a:cxn ang="0">
                  <a:pos x="connsiteX2" y="connsiteY2"/>
                </a:cxn>
                <a:cxn ang="0">
                  <a:pos x="connsiteX3" y="connsiteY3"/>
                </a:cxn>
              </a:cxnLst>
              <a:rect l="l" t="t" r="r" b="b"/>
              <a:pathLst>
                <a:path w="2317173" h="31173">
                  <a:moveTo>
                    <a:pt x="0" y="31173"/>
                  </a:moveTo>
                  <a:lnTo>
                    <a:pt x="1340427" y="31173"/>
                  </a:lnTo>
                  <a:cubicBezTo>
                    <a:pt x="1726622" y="25978"/>
                    <a:pt x="2317173" y="0"/>
                    <a:pt x="2317173" y="0"/>
                  </a:cubicBezTo>
                  <a:lnTo>
                    <a:pt x="2317173" y="0"/>
                  </a:lnTo>
                </a:path>
              </a:pathLst>
            </a:cu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46" name="Straight Connector 45">
              <a:extLst>
                <a:ext uri="{FF2B5EF4-FFF2-40B4-BE49-F238E27FC236}">
                  <a16:creationId xmlns:a16="http://schemas.microsoft.com/office/drawing/2014/main" id="{E90FBAA9-D332-4385-BB85-F80908243324}"/>
                </a:ext>
              </a:extLst>
            </xdr:cNvPr>
            <xdr:cNvCxnSpPr>
              <a:cxnSpLocks/>
            </xdr:cNvCxnSpPr>
          </xdr:nvCxnSpPr>
          <xdr:spPr>
            <a:xfrm>
              <a:off x="7954272" y="2402538"/>
              <a:ext cx="1158" cy="796256"/>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38F5FA3A-9D51-446B-85C4-89E2207E37CF}"/>
                </a:ext>
              </a:extLst>
            </xdr:cNvPr>
            <xdr:cNvCxnSpPr>
              <a:cxnSpLocks/>
            </xdr:cNvCxnSpPr>
          </xdr:nvCxnSpPr>
          <xdr:spPr>
            <a:xfrm flipH="1">
              <a:off x="7964004" y="2513832"/>
              <a:ext cx="253307" cy="684963"/>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9B9E06D-9DBB-4210-B80A-82FE831C1274}"/>
                </a:ext>
              </a:extLst>
            </xdr:cNvPr>
            <xdr:cNvCxnSpPr>
              <a:cxnSpLocks/>
            </xdr:cNvCxnSpPr>
          </xdr:nvCxnSpPr>
          <xdr:spPr>
            <a:xfrm flipH="1">
              <a:off x="7951949" y="2712760"/>
              <a:ext cx="194368" cy="0"/>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76DB2F3E-313C-4B87-BF4A-2DE915D3FD9D}"/>
                </a:ext>
              </a:extLst>
            </xdr:cNvPr>
            <xdr:cNvCxnSpPr>
              <a:cxnSpLocks/>
            </xdr:cNvCxnSpPr>
          </xdr:nvCxnSpPr>
          <xdr:spPr>
            <a:xfrm flipH="1">
              <a:off x="7948013" y="2923246"/>
              <a:ext cx="110306" cy="0"/>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50" name="Rectangle: Rounded Corners 49">
              <a:extLst>
                <a:ext uri="{FF2B5EF4-FFF2-40B4-BE49-F238E27FC236}">
                  <a16:creationId xmlns:a16="http://schemas.microsoft.com/office/drawing/2014/main" id="{C36C8A35-25F9-42FF-B2E0-39BFCBA8595C}"/>
                </a:ext>
              </a:extLst>
            </xdr:cNvPr>
            <xdr:cNvSpPr/>
          </xdr:nvSpPr>
          <xdr:spPr>
            <a:xfrm>
              <a:off x="7977443" y="3102225"/>
              <a:ext cx="112118" cy="321082"/>
            </a:xfrm>
            <a:prstGeom prst="roundRect">
              <a:avLst/>
            </a:prstGeom>
            <a:solidFill>
              <a:schemeClr val="tx1">
                <a:lumMod val="85000"/>
                <a:lumOff val="15000"/>
              </a:schemeClr>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51" name="Straight Connector 50">
              <a:extLst>
                <a:ext uri="{FF2B5EF4-FFF2-40B4-BE49-F238E27FC236}">
                  <a16:creationId xmlns:a16="http://schemas.microsoft.com/office/drawing/2014/main" id="{B25C4484-88F5-4B93-8653-72D26CF8AFB5}"/>
                </a:ext>
              </a:extLst>
            </xdr:cNvPr>
            <xdr:cNvCxnSpPr>
              <a:cxnSpLocks/>
              <a:endCxn id="34" idx="4"/>
            </xdr:cNvCxnSpPr>
          </xdr:nvCxnSpPr>
          <xdr:spPr>
            <a:xfrm flipH="1">
              <a:off x="4109740" y="2599006"/>
              <a:ext cx="202857" cy="901686"/>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1916626A-4EC3-4DFE-BE04-1E29EF8D3DA3}"/>
                </a:ext>
              </a:extLst>
            </xdr:cNvPr>
            <xdr:cNvCxnSpPr>
              <a:cxnSpLocks/>
            </xdr:cNvCxnSpPr>
          </xdr:nvCxnSpPr>
          <xdr:spPr>
            <a:xfrm>
              <a:off x="4226864" y="2965750"/>
              <a:ext cx="178921" cy="0"/>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1461DF35-38AD-4B2F-9F67-91F1DE13C9C6}"/>
                </a:ext>
              </a:extLst>
            </xdr:cNvPr>
            <xdr:cNvCxnSpPr>
              <a:cxnSpLocks/>
            </xdr:cNvCxnSpPr>
          </xdr:nvCxnSpPr>
          <xdr:spPr>
            <a:xfrm>
              <a:off x="4159366" y="3263584"/>
              <a:ext cx="321623" cy="0"/>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54" name="Rectangle 53">
              <a:extLst>
                <a:ext uri="{FF2B5EF4-FFF2-40B4-BE49-F238E27FC236}">
                  <a16:creationId xmlns:a16="http://schemas.microsoft.com/office/drawing/2014/main" id="{65B69F6A-59A6-4858-88CB-A5E8B12C0B7F}"/>
                </a:ext>
              </a:extLst>
            </xdr:cNvPr>
            <xdr:cNvSpPr/>
          </xdr:nvSpPr>
          <xdr:spPr>
            <a:xfrm rot="10800000">
              <a:off x="3919053" y="3325730"/>
              <a:ext cx="393537" cy="39960"/>
            </a:xfrm>
            <a:prstGeom prst="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55" name="Rectangle 54">
              <a:extLst>
                <a:ext uri="{FF2B5EF4-FFF2-40B4-BE49-F238E27FC236}">
                  <a16:creationId xmlns:a16="http://schemas.microsoft.com/office/drawing/2014/main" id="{FB9E5E10-7AA4-4BC2-AC1D-F0A344A31F13}"/>
                </a:ext>
              </a:extLst>
            </xdr:cNvPr>
            <xdr:cNvSpPr/>
          </xdr:nvSpPr>
          <xdr:spPr>
            <a:xfrm rot="16200000">
              <a:off x="3929059" y="2951799"/>
              <a:ext cx="790052" cy="37725"/>
            </a:xfrm>
            <a:prstGeom prst="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56" name="Rectangle 55">
              <a:extLst>
                <a:ext uri="{FF2B5EF4-FFF2-40B4-BE49-F238E27FC236}">
                  <a16:creationId xmlns:a16="http://schemas.microsoft.com/office/drawing/2014/main" id="{81D6F84B-ABFD-43EF-BF71-76116935E901}"/>
                </a:ext>
              </a:extLst>
            </xdr:cNvPr>
            <xdr:cNvSpPr/>
          </xdr:nvSpPr>
          <xdr:spPr>
            <a:xfrm rot="10800000">
              <a:off x="8197695" y="2471692"/>
              <a:ext cx="350899" cy="39358"/>
            </a:xfrm>
            <a:prstGeom prst="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57" name="Freeform: Shape 56">
              <a:extLst>
                <a:ext uri="{FF2B5EF4-FFF2-40B4-BE49-F238E27FC236}">
                  <a16:creationId xmlns:a16="http://schemas.microsoft.com/office/drawing/2014/main" id="{10E33C29-AF87-482B-B30C-D4D20F2725F3}"/>
                </a:ext>
              </a:extLst>
            </xdr:cNvPr>
            <xdr:cNvSpPr/>
          </xdr:nvSpPr>
          <xdr:spPr>
            <a:xfrm>
              <a:off x="7175733" y="2137884"/>
              <a:ext cx="1362527" cy="344861"/>
            </a:xfrm>
            <a:custGeom>
              <a:avLst/>
              <a:gdLst>
                <a:gd name="connsiteX0" fmla="*/ 0 w 1735282"/>
                <a:gd name="connsiteY0" fmla="*/ 145473 h 446809"/>
                <a:gd name="connsiteX1" fmla="*/ 987136 w 1735282"/>
                <a:gd name="connsiteY1" fmla="*/ 0 h 446809"/>
                <a:gd name="connsiteX2" fmla="*/ 1735282 w 1735282"/>
                <a:gd name="connsiteY2" fmla="*/ 446809 h 446809"/>
                <a:gd name="connsiteX0" fmla="*/ 0 w 1487632"/>
                <a:gd name="connsiteY0" fmla="*/ 145473 h 446809"/>
                <a:gd name="connsiteX1" fmla="*/ 987136 w 1487632"/>
                <a:gd name="connsiteY1" fmla="*/ 0 h 446809"/>
                <a:gd name="connsiteX2" fmla="*/ 1487632 w 1487632"/>
                <a:gd name="connsiteY2" fmla="*/ 446809 h 446809"/>
              </a:gdLst>
              <a:ahLst/>
              <a:cxnLst>
                <a:cxn ang="0">
                  <a:pos x="connsiteX0" y="connsiteY0"/>
                </a:cxn>
                <a:cxn ang="0">
                  <a:pos x="connsiteX1" y="connsiteY1"/>
                </a:cxn>
                <a:cxn ang="0">
                  <a:pos x="connsiteX2" y="connsiteY2"/>
                </a:cxn>
              </a:cxnLst>
              <a:rect l="l" t="t" r="r" b="b"/>
              <a:pathLst>
                <a:path w="1487632" h="446809">
                  <a:moveTo>
                    <a:pt x="0" y="145473"/>
                  </a:moveTo>
                  <a:lnTo>
                    <a:pt x="987136" y="0"/>
                  </a:lnTo>
                  <a:lnTo>
                    <a:pt x="1487632" y="446809"/>
                  </a:lnTo>
                </a:path>
              </a:pathLst>
            </a:cu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58" name="Freeform: Shape 57">
              <a:extLst>
                <a:ext uri="{FF2B5EF4-FFF2-40B4-BE49-F238E27FC236}">
                  <a16:creationId xmlns:a16="http://schemas.microsoft.com/office/drawing/2014/main" id="{AAE293FC-C499-467C-B8CE-0306D4F93985}"/>
                </a:ext>
              </a:extLst>
            </xdr:cNvPr>
            <xdr:cNvSpPr/>
          </xdr:nvSpPr>
          <xdr:spPr>
            <a:xfrm>
              <a:off x="4701353" y="2346766"/>
              <a:ext cx="1080338" cy="250464"/>
            </a:xfrm>
            <a:custGeom>
              <a:avLst/>
              <a:gdLst>
                <a:gd name="connsiteX0" fmla="*/ 0 w 1309255"/>
                <a:gd name="connsiteY0" fmla="*/ 135082 h 290946"/>
                <a:gd name="connsiteX1" fmla="*/ 207818 w 1309255"/>
                <a:gd name="connsiteY1" fmla="*/ 290946 h 290946"/>
                <a:gd name="connsiteX2" fmla="*/ 488373 w 1309255"/>
                <a:gd name="connsiteY2" fmla="*/ 0 h 290946"/>
                <a:gd name="connsiteX3" fmla="*/ 841664 w 1309255"/>
                <a:gd name="connsiteY3" fmla="*/ 290946 h 290946"/>
                <a:gd name="connsiteX4" fmla="*/ 1049482 w 1309255"/>
                <a:gd name="connsiteY4" fmla="*/ 41564 h 290946"/>
                <a:gd name="connsiteX5" fmla="*/ 1309255 w 1309255"/>
                <a:gd name="connsiteY5" fmla="*/ 280555 h 290946"/>
                <a:gd name="connsiteX0" fmla="*/ 0 w 1309255"/>
                <a:gd name="connsiteY0" fmla="*/ 135082 h 290946"/>
                <a:gd name="connsiteX1" fmla="*/ 207818 w 1309255"/>
                <a:gd name="connsiteY1" fmla="*/ 290946 h 290946"/>
                <a:gd name="connsiteX2" fmla="*/ 488373 w 1309255"/>
                <a:gd name="connsiteY2" fmla="*/ 0 h 290946"/>
                <a:gd name="connsiteX3" fmla="*/ 841664 w 1309255"/>
                <a:gd name="connsiteY3" fmla="*/ 290946 h 290946"/>
                <a:gd name="connsiteX4" fmla="*/ 1049482 w 1309255"/>
                <a:gd name="connsiteY4" fmla="*/ 20782 h 290946"/>
                <a:gd name="connsiteX5" fmla="*/ 1309255 w 1309255"/>
                <a:gd name="connsiteY5" fmla="*/ 280555 h 2909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09255" h="290946">
                  <a:moveTo>
                    <a:pt x="0" y="135082"/>
                  </a:moveTo>
                  <a:lnTo>
                    <a:pt x="207818" y="290946"/>
                  </a:lnTo>
                  <a:lnTo>
                    <a:pt x="488373" y="0"/>
                  </a:lnTo>
                  <a:lnTo>
                    <a:pt x="841664" y="290946"/>
                  </a:lnTo>
                  <a:lnTo>
                    <a:pt x="1049482" y="20782"/>
                  </a:lnTo>
                  <a:lnTo>
                    <a:pt x="1309255" y="280555"/>
                  </a:lnTo>
                </a:path>
              </a:pathLst>
            </a:cu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59" name="Freeform: Shape 58">
              <a:extLst>
                <a:ext uri="{FF2B5EF4-FFF2-40B4-BE49-F238E27FC236}">
                  <a16:creationId xmlns:a16="http://schemas.microsoft.com/office/drawing/2014/main" id="{ED33BDF6-CC4D-410F-A1DE-E6FD142470DD}"/>
                </a:ext>
              </a:extLst>
            </xdr:cNvPr>
            <xdr:cNvSpPr/>
          </xdr:nvSpPr>
          <xdr:spPr>
            <a:xfrm>
              <a:off x="6647674" y="2291123"/>
              <a:ext cx="1083516" cy="254658"/>
            </a:xfrm>
            <a:custGeom>
              <a:avLst/>
              <a:gdLst>
                <a:gd name="connsiteX0" fmla="*/ 0 w 1309255"/>
                <a:gd name="connsiteY0" fmla="*/ 135082 h 290946"/>
                <a:gd name="connsiteX1" fmla="*/ 207818 w 1309255"/>
                <a:gd name="connsiteY1" fmla="*/ 290946 h 290946"/>
                <a:gd name="connsiteX2" fmla="*/ 488373 w 1309255"/>
                <a:gd name="connsiteY2" fmla="*/ 0 h 290946"/>
                <a:gd name="connsiteX3" fmla="*/ 841664 w 1309255"/>
                <a:gd name="connsiteY3" fmla="*/ 290946 h 290946"/>
                <a:gd name="connsiteX4" fmla="*/ 1049482 w 1309255"/>
                <a:gd name="connsiteY4" fmla="*/ 41564 h 290946"/>
                <a:gd name="connsiteX5" fmla="*/ 1309255 w 1309255"/>
                <a:gd name="connsiteY5" fmla="*/ 280555 h 290946"/>
                <a:gd name="connsiteX0" fmla="*/ 0 w 1309255"/>
                <a:gd name="connsiteY0" fmla="*/ 135082 h 290946"/>
                <a:gd name="connsiteX1" fmla="*/ 207818 w 1309255"/>
                <a:gd name="connsiteY1" fmla="*/ 290946 h 290946"/>
                <a:gd name="connsiteX2" fmla="*/ 488373 w 1309255"/>
                <a:gd name="connsiteY2" fmla="*/ 0 h 290946"/>
                <a:gd name="connsiteX3" fmla="*/ 841664 w 1309255"/>
                <a:gd name="connsiteY3" fmla="*/ 290946 h 290946"/>
                <a:gd name="connsiteX4" fmla="*/ 1049482 w 1309255"/>
                <a:gd name="connsiteY4" fmla="*/ 20782 h 290946"/>
                <a:gd name="connsiteX5" fmla="*/ 1309255 w 1309255"/>
                <a:gd name="connsiteY5" fmla="*/ 280555 h 2909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09255" h="290946">
                  <a:moveTo>
                    <a:pt x="0" y="135082"/>
                  </a:moveTo>
                  <a:lnTo>
                    <a:pt x="207818" y="290946"/>
                  </a:lnTo>
                  <a:lnTo>
                    <a:pt x="488373" y="0"/>
                  </a:lnTo>
                  <a:lnTo>
                    <a:pt x="841664" y="290946"/>
                  </a:lnTo>
                  <a:lnTo>
                    <a:pt x="1049482" y="20782"/>
                  </a:lnTo>
                  <a:lnTo>
                    <a:pt x="1309255" y="280555"/>
                  </a:lnTo>
                </a:path>
              </a:pathLst>
            </a:cu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60" name="Straight Connector 59">
              <a:extLst>
                <a:ext uri="{FF2B5EF4-FFF2-40B4-BE49-F238E27FC236}">
                  <a16:creationId xmlns:a16="http://schemas.microsoft.com/office/drawing/2014/main" id="{20F244DE-D531-4418-BB9C-EB69FE524ABB}"/>
                </a:ext>
              </a:extLst>
            </xdr:cNvPr>
            <xdr:cNvCxnSpPr>
              <a:cxnSpLocks/>
              <a:stCxn id="57" idx="1"/>
            </xdr:cNvCxnSpPr>
          </xdr:nvCxnSpPr>
          <xdr:spPr>
            <a:xfrm>
              <a:off x="8079855" y="2137884"/>
              <a:ext cx="38279" cy="300015"/>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a:extLst>
                <a:ext uri="{FF2B5EF4-FFF2-40B4-BE49-F238E27FC236}">
                  <a16:creationId xmlns:a16="http://schemas.microsoft.com/office/drawing/2014/main" id="{EC334436-4188-4080-8493-15731CB84B28}"/>
                </a:ext>
              </a:extLst>
            </xdr:cNvPr>
            <xdr:cNvCxnSpPr>
              <a:cxnSpLocks/>
            </xdr:cNvCxnSpPr>
          </xdr:nvCxnSpPr>
          <xdr:spPr>
            <a:xfrm>
              <a:off x="4846483" y="2402538"/>
              <a:ext cx="11435" cy="460804"/>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62" name="Trapezoid 61">
              <a:extLst>
                <a:ext uri="{FF2B5EF4-FFF2-40B4-BE49-F238E27FC236}">
                  <a16:creationId xmlns:a16="http://schemas.microsoft.com/office/drawing/2014/main" id="{A9DFA34E-04E0-4D5A-B888-0A1825FE77F2}"/>
                </a:ext>
              </a:extLst>
            </xdr:cNvPr>
            <xdr:cNvSpPr/>
          </xdr:nvSpPr>
          <xdr:spPr>
            <a:xfrm rot="10800000">
              <a:off x="4839055" y="2811647"/>
              <a:ext cx="37725" cy="76897"/>
            </a:xfrm>
            <a:prstGeom prst="trapezoid">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63" name="Trapezoid 62">
              <a:extLst>
                <a:ext uri="{FF2B5EF4-FFF2-40B4-BE49-F238E27FC236}">
                  <a16:creationId xmlns:a16="http://schemas.microsoft.com/office/drawing/2014/main" id="{D4B5F8EB-CDCB-4685-A1A6-032794A919CE}"/>
                </a:ext>
              </a:extLst>
            </xdr:cNvPr>
            <xdr:cNvSpPr/>
          </xdr:nvSpPr>
          <xdr:spPr>
            <a:xfrm>
              <a:off x="4839055" y="2846239"/>
              <a:ext cx="37725" cy="48825"/>
            </a:xfrm>
            <a:prstGeom prst="trapezoid">
              <a:avLst/>
            </a:prstGeom>
            <a:no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64" name="Trapezoid 63">
              <a:extLst>
                <a:ext uri="{FF2B5EF4-FFF2-40B4-BE49-F238E27FC236}">
                  <a16:creationId xmlns:a16="http://schemas.microsoft.com/office/drawing/2014/main" id="{48710E5F-3854-4701-9B53-7673793FC885}"/>
                </a:ext>
              </a:extLst>
            </xdr:cNvPr>
            <xdr:cNvSpPr/>
          </xdr:nvSpPr>
          <xdr:spPr>
            <a:xfrm>
              <a:off x="4680947" y="2900160"/>
              <a:ext cx="353940" cy="278099"/>
            </a:xfrm>
            <a:prstGeom prst="trapezoid">
              <a:avLst>
                <a:gd name="adj" fmla="val 139559"/>
              </a:avLst>
            </a:prstGeom>
            <a:gradFill flip="none" rotWithShape="1">
              <a:gsLst>
                <a:gs pos="0">
                  <a:schemeClr val="accent5">
                    <a:lumMod val="75000"/>
                  </a:schemeClr>
                </a:gs>
                <a:gs pos="100000">
                  <a:srgbClr val="00B0F0"/>
                </a:gs>
                <a:gs pos="100000">
                  <a:schemeClr val="accent5">
                    <a:lumMod val="45000"/>
                    <a:lumOff val="55000"/>
                  </a:schemeClr>
                </a:gs>
                <a:gs pos="100000">
                  <a:schemeClr val="accent5">
                    <a:lumMod val="30000"/>
                    <a:lumOff val="7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65" name="Straight Connector 64">
              <a:extLst>
                <a:ext uri="{FF2B5EF4-FFF2-40B4-BE49-F238E27FC236}">
                  <a16:creationId xmlns:a16="http://schemas.microsoft.com/office/drawing/2014/main" id="{7D0753F3-720D-4EF7-A5C6-E7AEDC422961}"/>
                </a:ext>
              </a:extLst>
            </xdr:cNvPr>
            <xdr:cNvCxnSpPr>
              <a:cxnSpLocks/>
            </xdr:cNvCxnSpPr>
          </xdr:nvCxnSpPr>
          <xdr:spPr>
            <a:xfrm>
              <a:off x="5264086" y="2321464"/>
              <a:ext cx="12542" cy="561301"/>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66" name="Trapezoid 65">
              <a:extLst>
                <a:ext uri="{FF2B5EF4-FFF2-40B4-BE49-F238E27FC236}">
                  <a16:creationId xmlns:a16="http://schemas.microsoft.com/office/drawing/2014/main" id="{AFE54A4D-1DDE-4308-B9D1-EAFC1392FBDB}"/>
                </a:ext>
              </a:extLst>
            </xdr:cNvPr>
            <xdr:cNvSpPr/>
          </xdr:nvSpPr>
          <xdr:spPr>
            <a:xfrm rot="10800000">
              <a:off x="5259216" y="2809598"/>
              <a:ext cx="37725" cy="76897"/>
            </a:xfrm>
            <a:prstGeom prst="trapezoid">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67" name="Trapezoid 66">
              <a:extLst>
                <a:ext uri="{FF2B5EF4-FFF2-40B4-BE49-F238E27FC236}">
                  <a16:creationId xmlns:a16="http://schemas.microsoft.com/office/drawing/2014/main" id="{E6A40B91-1C38-4D1C-9C59-D36C6BB286EA}"/>
                </a:ext>
              </a:extLst>
            </xdr:cNvPr>
            <xdr:cNvSpPr/>
          </xdr:nvSpPr>
          <xdr:spPr>
            <a:xfrm>
              <a:off x="5259216" y="2846239"/>
              <a:ext cx="37725" cy="48825"/>
            </a:xfrm>
            <a:prstGeom prst="trapezoid">
              <a:avLst/>
            </a:prstGeom>
            <a:no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68" name="Trapezoid 67">
              <a:extLst>
                <a:ext uri="{FF2B5EF4-FFF2-40B4-BE49-F238E27FC236}">
                  <a16:creationId xmlns:a16="http://schemas.microsoft.com/office/drawing/2014/main" id="{5DB02638-424E-483B-805C-99C426B0BDE4}"/>
                </a:ext>
              </a:extLst>
            </xdr:cNvPr>
            <xdr:cNvSpPr/>
          </xdr:nvSpPr>
          <xdr:spPr>
            <a:xfrm>
              <a:off x="5103073" y="2900160"/>
              <a:ext cx="353940" cy="278099"/>
            </a:xfrm>
            <a:prstGeom prst="trapezoid">
              <a:avLst>
                <a:gd name="adj" fmla="val 139559"/>
              </a:avLst>
            </a:prstGeom>
            <a:gradFill flip="none" rotWithShape="1">
              <a:gsLst>
                <a:gs pos="0">
                  <a:schemeClr val="accent5">
                    <a:lumMod val="75000"/>
                  </a:schemeClr>
                </a:gs>
                <a:gs pos="100000">
                  <a:srgbClr val="00B0F0"/>
                </a:gs>
                <a:gs pos="100000">
                  <a:schemeClr val="accent5">
                    <a:lumMod val="45000"/>
                    <a:lumOff val="55000"/>
                  </a:schemeClr>
                </a:gs>
                <a:gs pos="100000">
                  <a:schemeClr val="accent5">
                    <a:lumMod val="30000"/>
                    <a:lumOff val="7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69" name="Straight Connector 68">
              <a:extLst>
                <a:ext uri="{FF2B5EF4-FFF2-40B4-BE49-F238E27FC236}">
                  <a16:creationId xmlns:a16="http://schemas.microsoft.com/office/drawing/2014/main" id="{FF5C03FF-3CD7-455D-8260-272EEABC2334}"/>
                </a:ext>
              </a:extLst>
            </xdr:cNvPr>
            <xdr:cNvCxnSpPr>
              <a:cxnSpLocks/>
            </xdr:cNvCxnSpPr>
          </xdr:nvCxnSpPr>
          <xdr:spPr>
            <a:xfrm>
              <a:off x="5708204" y="2382003"/>
              <a:ext cx="11435" cy="473003"/>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70" name="Trapezoid 69">
              <a:extLst>
                <a:ext uri="{FF2B5EF4-FFF2-40B4-BE49-F238E27FC236}">
                  <a16:creationId xmlns:a16="http://schemas.microsoft.com/office/drawing/2014/main" id="{74D9B55C-EBB9-4DCC-9A05-884C5ED8CA3E}"/>
                </a:ext>
              </a:extLst>
            </xdr:cNvPr>
            <xdr:cNvSpPr/>
          </xdr:nvSpPr>
          <xdr:spPr>
            <a:xfrm rot="10800000">
              <a:off x="5700776" y="2801942"/>
              <a:ext cx="37725" cy="78933"/>
            </a:xfrm>
            <a:prstGeom prst="trapezoid">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71" name="Trapezoid 70">
              <a:extLst>
                <a:ext uri="{FF2B5EF4-FFF2-40B4-BE49-F238E27FC236}">
                  <a16:creationId xmlns:a16="http://schemas.microsoft.com/office/drawing/2014/main" id="{4CB4425E-C8FB-4B2C-B4AC-EC176F914A86}"/>
                </a:ext>
              </a:extLst>
            </xdr:cNvPr>
            <xdr:cNvSpPr/>
          </xdr:nvSpPr>
          <xdr:spPr>
            <a:xfrm>
              <a:off x="5700776" y="2837449"/>
              <a:ext cx="37725" cy="50117"/>
            </a:xfrm>
            <a:prstGeom prst="trapezoid">
              <a:avLst/>
            </a:prstGeom>
            <a:no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72" name="Trapezoid 71">
              <a:extLst>
                <a:ext uri="{FF2B5EF4-FFF2-40B4-BE49-F238E27FC236}">
                  <a16:creationId xmlns:a16="http://schemas.microsoft.com/office/drawing/2014/main" id="{E41367F8-4B32-4A4A-A00B-892BD0C05EF0}"/>
                </a:ext>
              </a:extLst>
            </xdr:cNvPr>
            <xdr:cNvSpPr/>
          </xdr:nvSpPr>
          <xdr:spPr>
            <a:xfrm>
              <a:off x="5542668" y="2892798"/>
              <a:ext cx="353940" cy="285461"/>
            </a:xfrm>
            <a:prstGeom prst="trapezoid">
              <a:avLst>
                <a:gd name="adj" fmla="val 139559"/>
              </a:avLst>
            </a:prstGeom>
            <a:gradFill flip="none" rotWithShape="1">
              <a:gsLst>
                <a:gs pos="0">
                  <a:schemeClr val="accent5">
                    <a:lumMod val="75000"/>
                  </a:schemeClr>
                </a:gs>
                <a:gs pos="100000">
                  <a:srgbClr val="00B0F0"/>
                </a:gs>
                <a:gs pos="100000">
                  <a:schemeClr val="accent5">
                    <a:lumMod val="45000"/>
                    <a:lumOff val="55000"/>
                  </a:schemeClr>
                </a:gs>
                <a:gs pos="100000">
                  <a:schemeClr val="accent5">
                    <a:lumMod val="30000"/>
                    <a:lumOff val="7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73" name="Straight Connector 72">
              <a:extLst>
                <a:ext uri="{FF2B5EF4-FFF2-40B4-BE49-F238E27FC236}">
                  <a16:creationId xmlns:a16="http://schemas.microsoft.com/office/drawing/2014/main" id="{2003E2C5-B72E-4F63-9FF5-EE32848012E4}"/>
                </a:ext>
              </a:extLst>
            </xdr:cNvPr>
            <xdr:cNvCxnSpPr>
              <a:cxnSpLocks/>
            </xdr:cNvCxnSpPr>
          </xdr:nvCxnSpPr>
          <xdr:spPr>
            <a:xfrm>
              <a:off x="6714267" y="2362600"/>
              <a:ext cx="11435" cy="460804"/>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74" name="Trapezoid 73">
              <a:extLst>
                <a:ext uri="{FF2B5EF4-FFF2-40B4-BE49-F238E27FC236}">
                  <a16:creationId xmlns:a16="http://schemas.microsoft.com/office/drawing/2014/main" id="{2AEC48A5-3593-4EC2-8A8D-AF44452D8371}"/>
                </a:ext>
              </a:extLst>
            </xdr:cNvPr>
            <xdr:cNvSpPr/>
          </xdr:nvSpPr>
          <xdr:spPr>
            <a:xfrm rot="10800000">
              <a:off x="6706839" y="2771709"/>
              <a:ext cx="37725" cy="76897"/>
            </a:xfrm>
            <a:prstGeom prst="trapezoid">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75" name="Trapezoid 74">
              <a:extLst>
                <a:ext uri="{FF2B5EF4-FFF2-40B4-BE49-F238E27FC236}">
                  <a16:creationId xmlns:a16="http://schemas.microsoft.com/office/drawing/2014/main" id="{791B823B-600F-410E-B805-8B47E1967454}"/>
                </a:ext>
              </a:extLst>
            </xdr:cNvPr>
            <xdr:cNvSpPr/>
          </xdr:nvSpPr>
          <xdr:spPr>
            <a:xfrm>
              <a:off x="6706839" y="2806301"/>
              <a:ext cx="37725" cy="48825"/>
            </a:xfrm>
            <a:prstGeom prst="trapezoid">
              <a:avLst/>
            </a:prstGeom>
            <a:no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76" name="Trapezoid 75">
              <a:extLst>
                <a:ext uri="{FF2B5EF4-FFF2-40B4-BE49-F238E27FC236}">
                  <a16:creationId xmlns:a16="http://schemas.microsoft.com/office/drawing/2014/main" id="{A9C44964-8F19-4969-B298-C6E2C23BA179}"/>
                </a:ext>
              </a:extLst>
            </xdr:cNvPr>
            <xdr:cNvSpPr/>
          </xdr:nvSpPr>
          <xdr:spPr>
            <a:xfrm>
              <a:off x="6548731" y="2860222"/>
              <a:ext cx="353940" cy="278099"/>
            </a:xfrm>
            <a:prstGeom prst="trapezoid">
              <a:avLst>
                <a:gd name="adj" fmla="val 139559"/>
              </a:avLst>
            </a:prstGeom>
            <a:gradFill flip="none" rotWithShape="1">
              <a:gsLst>
                <a:gs pos="0">
                  <a:schemeClr val="accent5">
                    <a:lumMod val="75000"/>
                  </a:schemeClr>
                </a:gs>
                <a:gs pos="100000">
                  <a:srgbClr val="00B0F0"/>
                </a:gs>
                <a:gs pos="100000">
                  <a:schemeClr val="accent5">
                    <a:lumMod val="45000"/>
                    <a:lumOff val="55000"/>
                  </a:schemeClr>
                </a:gs>
                <a:gs pos="100000">
                  <a:schemeClr val="accent5">
                    <a:lumMod val="30000"/>
                    <a:lumOff val="7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77" name="Straight Connector 76">
              <a:extLst>
                <a:ext uri="{FF2B5EF4-FFF2-40B4-BE49-F238E27FC236}">
                  <a16:creationId xmlns:a16="http://schemas.microsoft.com/office/drawing/2014/main" id="{94643C1C-2DC3-4503-9D6D-203B2C1CBDAE}"/>
                </a:ext>
              </a:extLst>
            </xdr:cNvPr>
            <xdr:cNvCxnSpPr>
              <a:cxnSpLocks/>
            </xdr:cNvCxnSpPr>
          </xdr:nvCxnSpPr>
          <xdr:spPr>
            <a:xfrm>
              <a:off x="7140576" y="2300333"/>
              <a:ext cx="18862" cy="523071"/>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78" name="Trapezoid 77">
              <a:extLst>
                <a:ext uri="{FF2B5EF4-FFF2-40B4-BE49-F238E27FC236}">
                  <a16:creationId xmlns:a16="http://schemas.microsoft.com/office/drawing/2014/main" id="{48F4090F-09BA-45E8-BCDA-A3467D07121E}"/>
                </a:ext>
              </a:extLst>
            </xdr:cNvPr>
            <xdr:cNvSpPr/>
          </xdr:nvSpPr>
          <xdr:spPr>
            <a:xfrm rot="10800000">
              <a:off x="7140575" y="2771709"/>
              <a:ext cx="37725" cy="76897"/>
            </a:xfrm>
            <a:prstGeom prst="trapezoid">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79" name="Trapezoid 78">
              <a:extLst>
                <a:ext uri="{FF2B5EF4-FFF2-40B4-BE49-F238E27FC236}">
                  <a16:creationId xmlns:a16="http://schemas.microsoft.com/office/drawing/2014/main" id="{9E18FEDD-7895-446B-B283-A5E7548C1172}"/>
                </a:ext>
              </a:extLst>
            </xdr:cNvPr>
            <xdr:cNvSpPr/>
          </xdr:nvSpPr>
          <xdr:spPr>
            <a:xfrm>
              <a:off x="7140575" y="2806301"/>
              <a:ext cx="37725" cy="48825"/>
            </a:xfrm>
            <a:prstGeom prst="trapezoid">
              <a:avLst/>
            </a:prstGeom>
            <a:no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80" name="Trapezoid 79">
              <a:extLst>
                <a:ext uri="{FF2B5EF4-FFF2-40B4-BE49-F238E27FC236}">
                  <a16:creationId xmlns:a16="http://schemas.microsoft.com/office/drawing/2014/main" id="{9082492A-E3D8-4BDA-9C42-6EBEC4F70696}"/>
                </a:ext>
              </a:extLst>
            </xdr:cNvPr>
            <xdr:cNvSpPr/>
          </xdr:nvSpPr>
          <xdr:spPr>
            <a:xfrm>
              <a:off x="6982467" y="2860222"/>
              <a:ext cx="353940" cy="278099"/>
            </a:xfrm>
            <a:prstGeom prst="trapezoid">
              <a:avLst>
                <a:gd name="adj" fmla="val 139559"/>
              </a:avLst>
            </a:prstGeom>
            <a:gradFill flip="none" rotWithShape="1">
              <a:gsLst>
                <a:gs pos="0">
                  <a:schemeClr val="accent5">
                    <a:lumMod val="75000"/>
                  </a:schemeClr>
                </a:gs>
                <a:gs pos="100000">
                  <a:srgbClr val="00B0F0"/>
                </a:gs>
                <a:gs pos="100000">
                  <a:schemeClr val="accent5">
                    <a:lumMod val="45000"/>
                    <a:lumOff val="55000"/>
                  </a:schemeClr>
                </a:gs>
                <a:gs pos="100000">
                  <a:schemeClr val="accent5">
                    <a:lumMod val="30000"/>
                    <a:lumOff val="7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81" name="Straight Connector 80">
              <a:extLst>
                <a:ext uri="{FF2B5EF4-FFF2-40B4-BE49-F238E27FC236}">
                  <a16:creationId xmlns:a16="http://schemas.microsoft.com/office/drawing/2014/main" id="{4A5198ED-214F-4210-A0D7-7CC11D876C48}"/>
                </a:ext>
              </a:extLst>
            </xdr:cNvPr>
            <xdr:cNvCxnSpPr>
              <a:cxnSpLocks/>
            </xdr:cNvCxnSpPr>
          </xdr:nvCxnSpPr>
          <xdr:spPr>
            <a:xfrm>
              <a:off x="7578523" y="2329320"/>
              <a:ext cx="8899" cy="485748"/>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2" name="Trapezoid 81">
              <a:extLst>
                <a:ext uri="{FF2B5EF4-FFF2-40B4-BE49-F238E27FC236}">
                  <a16:creationId xmlns:a16="http://schemas.microsoft.com/office/drawing/2014/main" id="{1A09BB31-A6F1-416C-84C0-212AC9B5AE9E}"/>
                </a:ext>
              </a:extLst>
            </xdr:cNvPr>
            <xdr:cNvSpPr/>
          </xdr:nvSpPr>
          <xdr:spPr>
            <a:xfrm rot="10800000">
              <a:off x="7568560" y="2762004"/>
              <a:ext cx="37725" cy="78933"/>
            </a:xfrm>
            <a:prstGeom prst="trapezoid">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83" name="Trapezoid 82">
              <a:extLst>
                <a:ext uri="{FF2B5EF4-FFF2-40B4-BE49-F238E27FC236}">
                  <a16:creationId xmlns:a16="http://schemas.microsoft.com/office/drawing/2014/main" id="{995293EC-90CD-41F3-8767-C3B64FF9A207}"/>
                </a:ext>
              </a:extLst>
            </xdr:cNvPr>
            <xdr:cNvSpPr/>
          </xdr:nvSpPr>
          <xdr:spPr>
            <a:xfrm>
              <a:off x="7568560" y="2797511"/>
              <a:ext cx="37725" cy="50117"/>
            </a:xfrm>
            <a:prstGeom prst="trapezoid">
              <a:avLst/>
            </a:prstGeom>
            <a:no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84" name="Trapezoid 83">
              <a:extLst>
                <a:ext uri="{FF2B5EF4-FFF2-40B4-BE49-F238E27FC236}">
                  <a16:creationId xmlns:a16="http://schemas.microsoft.com/office/drawing/2014/main" id="{B9F092C7-0199-4A59-BAA4-9DBAECDF0141}"/>
                </a:ext>
              </a:extLst>
            </xdr:cNvPr>
            <xdr:cNvSpPr/>
          </xdr:nvSpPr>
          <xdr:spPr>
            <a:xfrm>
              <a:off x="7410452" y="2852860"/>
              <a:ext cx="353940" cy="285461"/>
            </a:xfrm>
            <a:prstGeom prst="trapezoid">
              <a:avLst>
                <a:gd name="adj" fmla="val 139559"/>
              </a:avLst>
            </a:prstGeom>
            <a:gradFill flip="none" rotWithShape="1">
              <a:gsLst>
                <a:gs pos="0">
                  <a:schemeClr val="accent5">
                    <a:lumMod val="75000"/>
                  </a:schemeClr>
                </a:gs>
                <a:gs pos="100000">
                  <a:srgbClr val="00B0F0"/>
                </a:gs>
                <a:gs pos="100000">
                  <a:schemeClr val="accent5">
                    <a:lumMod val="45000"/>
                    <a:lumOff val="55000"/>
                  </a:schemeClr>
                </a:gs>
                <a:gs pos="100000">
                  <a:schemeClr val="accent5">
                    <a:lumMod val="30000"/>
                    <a:lumOff val="7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85" name="Straight Connector 84">
              <a:extLst>
                <a:ext uri="{FF2B5EF4-FFF2-40B4-BE49-F238E27FC236}">
                  <a16:creationId xmlns:a16="http://schemas.microsoft.com/office/drawing/2014/main" id="{A2CFBE8A-5B20-4E48-A5F7-E7D7FE19026C}"/>
                </a:ext>
              </a:extLst>
            </xdr:cNvPr>
            <xdr:cNvCxnSpPr>
              <a:cxnSpLocks/>
              <a:stCxn id="89" idx="2"/>
            </xdr:cNvCxnSpPr>
          </xdr:nvCxnSpPr>
          <xdr:spPr>
            <a:xfrm flipH="1">
              <a:off x="85357" y="4197432"/>
              <a:ext cx="1959759" cy="1"/>
            </a:xfrm>
            <a:prstGeom prst="line">
              <a:avLst/>
            </a:prstGeom>
            <a:ln w="15875">
              <a:solidFill>
                <a:schemeClr val="tx1">
                  <a:lumMod val="85000"/>
                  <a:lumOff val="15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86" name="Straight Connector 85">
              <a:extLst>
                <a:ext uri="{FF2B5EF4-FFF2-40B4-BE49-F238E27FC236}">
                  <a16:creationId xmlns:a16="http://schemas.microsoft.com/office/drawing/2014/main" id="{A30C33AA-87B8-43E1-A4F9-69E62A3EE5DB}"/>
                </a:ext>
              </a:extLst>
            </xdr:cNvPr>
            <xdr:cNvCxnSpPr>
              <a:cxnSpLocks/>
            </xdr:cNvCxnSpPr>
          </xdr:nvCxnSpPr>
          <xdr:spPr>
            <a:xfrm flipH="1" flipV="1">
              <a:off x="67497" y="2803721"/>
              <a:ext cx="4738551" cy="24816"/>
            </a:xfrm>
            <a:prstGeom prst="line">
              <a:avLst/>
            </a:prstGeom>
            <a:ln w="15875">
              <a:solidFill>
                <a:schemeClr val="tx1">
                  <a:lumMod val="85000"/>
                  <a:lumOff val="15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87" name="Straight Arrow Connector 86">
              <a:extLst>
                <a:ext uri="{FF2B5EF4-FFF2-40B4-BE49-F238E27FC236}">
                  <a16:creationId xmlns:a16="http://schemas.microsoft.com/office/drawing/2014/main" id="{C959973C-C22A-4E05-B6F4-973A8843F576}"/>
                </a:ext>
              </a:extLst>
            </xdr:cNvPr>
            <xdr:cNvCxnSpPr>
              <a:cxnSpLocks/>
            </xdr:cNvCxnSpPr>
          </xdr:nvCxnSpPr>
          <xdr:spPr>
            <a:xfrm>
              <a:off x="1818098" y="3259305"/>
              <a:ext cx="7374" cy="936017"/>
            </a:xfrm>
            <a:prstGeom prst="straightConnector1">
              <a:avLst/>
            </a:prstGeom>
            <a:ln w="19050">
              <a:solidFill>
                <a:schemeClr val="tx1">
                  <a:lumMod val="95000"/>
                  <a:lumOff val="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5BCC1DA6-ED2B-4A1E-BE92-C51C90EE4AAC}"/>
                </a:ext>
              </a:extLst>
            </xdr:cNvPr>
            <xdr:cNvCxnSpPr>
              <a:cxnSpLocks/>
            </xdr:cNvCxnSpPr>
          </xdr:nvCxnSpPr>
          <xdr:spPr>
            <a:xfrm flipH="1" flipV="1">
              <a:off x="76427" y="3245714"/>
              <a:ext cx="4228795" cy="14254"/>
            </a:xfrm>
            <a:prstGeom prst="line">
              <a:avLst/>
            </a:prstGeom>
            <a:ln w="15875">
              <a:solidFill>
                <a:schemeClr val="tx1">
                  <a:lumMod val="85000"/>
                  <a:lumOff val="15000"/>
                </a:schemeClr>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89" name="Oval 88">
              <a:extLst>
                <a:ext uri="{FF2B5EF4-FFF2-40B4-BE49-F238E27FC236}">
                  <a16:creationId xmlns:a16="http://schemas.microsoft.com/office/drawing/2014/main" id="{7ADA913A-02B7-40D8-84E5-94AB727F508C}"/>
                </a:ext>
              </a:extLst>
            </xdr:cNvPr>
            <xdr:cNvSpPr/>
          </xdr:nvSpPr>
          <xdr:spPr>
            <a:xfrm>
              <a:off x="2045115" y="4043745"/>
              <a:ext cx="337738" cy="307372"/>
            </a:xfrm>
            <a:prstGeom prst="ellipse">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90" name="Straight Arrow Connector 89">
              <a:extLst>
                <a:ext uri="{FF2B5EF4-FFF2-40B4-BE49-F238E27FC236}">
                  <a16:creationId xmlns:a16="http://schemas.microsoft.com/office/drawing/2014/main" id="{5503B143-C58A-4A03-BFA4-28A548BEB8D4}"/>
                </a:ext>
              </a:extLst>
            </xdr:cNvPr>
            <xdr:cNvCxnSpPr>
              <a:cxnSpLocks/>
            </xdr:cNvCxnSpPr>
          </xdr:nvCxnSpPr>
          <xdr:spPr>
            <a:xfrm>
              <a:off x="1831384" y="4199542"/>
              <a:ext cx="0" cy="371656"/>
            </a:xfrm>
            <a:prstGeom prst="straightConnector1">
              <a:avLst/>
            </a:prstGeom>
            <a:ln w="19050">
              <a:solidFill>
                <a:schemeClr val="tx1">
                  <a:lumMod val="95000"/>
                  <a:lumOff val="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1" name="Straight Arrow Connector 90">
              <a:extLst>
                <a:ext uri="{FF2B5EF4-FFF2-40B4-BE49-F238E27FC236}">
                  <a16:creationId xmlns:a16="http://schemas.microsoft.com/office/drawing/2014/main" id="{EF2F2A29-E2C6-467B-9863-3A36249F3EF9}"/>
                </a:ext>
              </a:extLst>
            </xdr:cNvPr>
            <xdr:cNvCxnSpPr>
              <a:cxnSpLocks/>
            </xdr:cNvCxnSpPr>
          </xdr:nvCxnSpPr>
          <xdr:spPr>
            <a:xfrm>
              <a:off x="1816311" y="2812083"/>
              <a:ext cx="0" cy="429215"/>
            </a:xfrm>
            <a:prstGeom prst="straightConnector1">
              <a:avLst/>
            </a:prstGeom>
            <a:ln w="19050">
              <a:solidFill>
                <a:schemeClr val="tx1">
                  <a:lumMod val="95000"/>
                  <a:lumOff val="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2" name="Straight Connector 91">
              <a:extLst>
                <a:ext uri="{FF2B5EF4-FFF2-40B4-BE49-F238E27FC236}">
                  <a16:creationId xmlns:a16="http://schemas.microsoft.com/office/drawing/2014/main" id="{CF371159-EB8C-4920-ACA9-3C8D06B3F8C8}"/>
                </a:ext>
              </a:extLst>
            </xdr:cNvPr>
            <xdr:cNvCxnSpPr>
              <a:cxnSpLocks/>
            </xdr:cNvCxnSpPr>
          </xdr:nvCxnSpPr>
          <xdr:spPr>
            <a:xfrm>
              <a:off x="4331649" y="2612899"/>
              <a:ext cx="183794" cy="829292"/>
            </a:xfrm>
            <a:prstGeom prst="line">
              <a:avLst/>
            </a:prstGeom>
            <a:ln w="222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93" name="Diagonal Stripe 92">
              <a:extLst>
                <a:ext uri="{FF2B5EF4-FFF2-40B4-BE49-F238E27FC236}">
                  <a16:creationId xmlns:a16="http://schemas.microsoft.com/office/drawing/2014/main" id="{9E471959-E5FC-413F-8E92-8548D91DF81E}"/>
                </a:ext>
              </a:extLst>
            </xdr:cNvPr>
            <xdr:cNvSpPr/>
          </xdr:nvSpPr>
          <xdr:spPr>
            <a:xfrm>
              <a:off x="8550923" y="2444480"/>
              <a:ext cx="78939" cy="61837"/>
            </a:xfrm>
            <a:prstGeom prst="diagStripe">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solidFill>
                  <a:schemeClr val="tx1"/>
                </a:solidFill>
              </a:endParaRPr>
            </a:p>
          </xdr:txBody>
        </xdr:sp>
        <xdr:sp macro="" textlink="">
          <xdr:nvSpPr>
            <xdr:cNvPr id="94" name="Oval 93">
              <a:extLst>
                <a:ext uri="{FF2B5EF4-FFF2-40B4-BE49-F238E27FC236}">
                  <a16:creationId xmlns:a16="http://schemas.microsoft.com/office/drawing/2014/main" id="{95CEF361-030D-4157-BB53-2E8E15E2F7C2}"/>
                </a:ext>
              </a:extLst>
            </xdr:cNvPr>
            <xdr:cNvSpPr/>
          </xdr:nvSpPr>
          <xdr:spPr>
            <a:xfrm>
              <a:off x="2297200" y="3929395"/>
              <a:ext cx="171305" cy="153748"/>
            </a:xfrm>
            <a:prstGeom prst="ellipse">
              <a:avLst/>
            </a:prstGeom>
            <a:solidFill>
              <a:schemeClr val="accent4">
                <a:lumMod val="40000"/>
                <a:lumOff val="60000"/>
              </a:schemeClr>
            </a:solidFill>
            <a:ln w="9525">
              <a:solidFill>
                <a:schemeClr val="bg1">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95" name="Straight Arrow Connector 94">
              <a:extLst>
                <a:ext uri="{FF2B5EF4-FFF2-40B4-BE49-F238E27FC236}">
                  <a16:creationId xmlns:a16="http://schemas.microsoft.com/office/drawing/2014/main" id="{438C4C37-7295-4096-88B2-E4664BF95DB3}"/>
                </a:ext>
              </a:extLst>
            </xdr:cNvPr>
            <xdr:cNvCxnSpPr>
              <a:cxnSpLocks/>
              <a:endCxn id="94" idx="5"/>
            </xdr:cNvCxnSpPr>
          </xdr:nvCxnSpPr>
          <xdr:spPr>
            <a:xfrm>
              <a:off x="2382321" y="4009688"/>
              <a:ext cx="61097" cy="50939"/>
            </a:xfrm>
            <a:prstGeom prst="straightConnector1">
              <a:avLst/>
            </a:prstGeom>
            <a:ln w="12700">
              <a:solidFill>
                <a:schemeClr val="tx1">
                  <a:lumMod val="95000"/>
                  <a:lumOff val="5000"/>
                </a:schemeClr>
              </a:solidFill>
              <a:bevel/>
              <a:headEnd type="none" w="sm" len="lg"/>
              <a:tailEnd type="triangle" w="sm" len="sm"/>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E6280DEF-93F0-424E-9006-2C97B046A3FD}"/>
                </a:ext>
              </a:extLst>
            </xdr:cNvPr>
            <xdr:cNvCxnSpPr/>
          </xdr:nvCxnSpPr>
          <xdr:spPr>
            <a:xfrm>
              <a:off x="2388671" y="4087367"/>
              <a:ext cx="0" cy="42308"/>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97" name="Oval 96">
              <a:extLst>
                <a:ext uri="{FF2B5EF4-FFF2-40B4-BE49-F238E27FC236}">
                  <a16:creationId xmlns:a16="http://schemas.microsoft.com/office/drawing/2014/main" id="{7653718D-4062-4CD2-B8EC-192BA54C68F1}"/>
                </a:ext>
              </a:extLst>
            </xdr:cNvPr>
            <xdr:cNvSpPr/>
          </xdr:nvSpPr>
          <xdr:spPr>
            <a:xfrm rot="5400000">
              <a:off x="4045059" y="3196329"/>
              <a:ext cx="171305" cy="153748"/>
            </a:xfrm>
            <a:prstGeom prst="ellipse">
              <a:avLst/>
            </a:prstGeom>
            <a:solidFill>
              <a:schemeClr val="accent4">
                <a:lumMod val="40000"/>
                <a:lumOff val="60000"/>
              </a:schemeClr>
            </a:solidFill>
            <a:ln w="9525">
              <a:solidFill>
                <a:schemeClr val="bg1">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98" name="Straight Arrow Connector 97">
              <a:extLst>
                <a:ext uri="{FF2B5EF4-FFF2-40B4-BE49-F238E27FC236}">
                  <a16:creationId xmlns:a16="http://schemas.microsoft.com/office/drawing/2014/main" id="{113A26C7-5FE2-4F66-BA18-86BBD3285E85}"/>
                </a:ext>
              </a:extLst>
            </xdr:cNvPr>
            <xdr:cNvCxnSpPr>
              <a:cxnSpLocks/>
            </xdr:cNvCxnSpPr>
          </xdr:nvCxnSpPr>
          <xdr:spPr>
            <a:xfrm flipV="1">
              <a:off x="4131578" y="3206228"/>
              <a:ext cx="50939" cy="61098"/>
            </a:xfrm>
            <a:prstGeom prst="straightConnector1">
              <a:avLst/>
            </a:prstGeom>
            <a:ln w="12700">
              <a:solidFill>
                <a:schemeClr val="tx1">
                  <a:lumMod val="95000"/>
                  <a:lumOff val="5000"/>
                </a:schemeClr>
              </a:solidFill>
              <a:bevel/>
              <a:headEnd type="none" w="sm" len="lg"/>
              <a:tailEnd type="triangle" w="sm" len="sm"/>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5B3F072-8371-407F-9D80-0AEB85DBF2FD}"/>
                </a:ext>
              </a:extLst>
            </xdr:cNvPr>
            <xdr:cNvCxnSpPr>
              <a:stCxn id="97" idx="0"/>
            </xdr:cNvCxnSpPr>
          </xdr:nvCxnSpPr>
          <xdr:spPr>
            <a:xfrm>
              <a:off x="4207586" y="3273203"/>
              <a:ext cx="122115" cy="0"/>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00" name="Oval 99">
              <a:extLst>
                <a:ext uri="{FF2B5EF4-FFF2-40B4-BE49-F238E27FC236}">
                  <a16:creationId xmlns:a16="http://schemas.microsoft.com/office/drawing/2014/main" id="{154768A0-865B-4F8C-907A-848DBAF9837A}"/>
                </a:ext>
              </a:extLst>
            </xdr:cNvPr>
            <xdr:cNvSpPr/>
          </xdr:nvSpPr>
          <xdr:spPr>
            <a:xfrm rot="5400000">
              <a:off x="8421516" y="2674923"/>
              <a:ext cx="171305" cy="153748"/>
            </a:xfrm>
            <a:prstGeom prst="ellipse">
              <a:avLst/>
            </a:prstGeom>
            <a:solidFill>
              <a:schemeClr val="accent4">
                <a:lumMod val="40000"/>
                <a:lumOff val="60000"/>
              </a:schemeClr>
            </a:solidFill>
            <a:ln w="9525">
              <a:solidFill>
                <a:schemeClr val="bg1">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01" name="Straight Arrow Connector 100">
              <a:extLst>
                <a:ext uri="{FF2B5EF4-FFF2-40B4-BE49-F238E27FC236}">
                  <a16:creationId xmlns:a16="http://schemas.microsoft.com/office/drawing/2014/main" id="{692C4949-CE8A-40A0-9FE9-0C730F8C1565}"/>
                </a:ext>
              </a:extLst>
            </xdr:cNvPr>
            <xdr:cNvCxnSpPr>
              <a:cxnSpLocks/>
            </xdr:cNvCxnSpPr>
          </xdr:nvCxnSpPr>
          <xdr:spPr>
            <a:xfrm flipH="1" flipV="1">
              <a:off x="8448866" y="2687711"/>
              <a:ext cx="50939" cy="61098"/>
            </a:xfrm>
            <a:prstGeom prst="straightConnector1">
              <a:avLst/>
            </a:prstGeom>
            <a:ln w="12700">
              <a:solidFill>
                <a:schemeClr val="tx1">
                  <a:lumMod val="95000"/>
                  <a:lumOff val="5000"/>
                </a:schemeClr>
              </a:solidFill>
              <a:bevel/>
              <a:headEnd type="none" w="sm" len="lg"/>
              <a:tailEnd type="triangle" w="sm" len="sm"/>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BF2B3688-F2B1-4992-A92F-F287CA8C9B49}"/>
                </a:ext>
              </a:extLst>
            </xdr:cNvPr>
            <xdr:cNvCxnSpPr/>
          </xdr:nvCxnSpPr>
          <xdr:spPr>
            <a:xfrm flipH="1">
              <a:off x="8383763" y="2757616"/>
              <a:ext cx="42308" cy="0"/>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graphicFrame macro="">
        <xdr:nvGraphicFramePr>
          <xdr:cNvPr id="25" name="Chart 24">
            <a:extLst>
              <a:ext uri="{FF2B5EF4-FFF2-40B4-BE49-F238E27FC236}">
                <a16:creationId xmlns:a16="http://schemas.microsoft.com/office/drawing/2014/main" id="{1C5C5E67-AC0B-4447-ABA9-F8EB4207A2ED}"/>
              </a:ext>
            </a:extLst>
          </xdr:cNvPr>
          <xdr:cNvGraphicFramePr>
            <a:graphicFrameLocks/>
          </xdr:cNvGraphicFramePr>
        </xdr:nvGraphicFramePr>
        <xdr:xfrm>
          <a:off x="11036147" y="2362531"/>
          <a:ext cx="1936652" cy="1918490"/>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27</xdr:col>
      <xdr:colOff>1345406</xdr:colOff>
      <xdr:row>40</xdr:row>
      <xdr:rowOff>130969</xdr:rowOff>
    </xdr:from>
    <xdr:to>
      <xdr:col>27</xdr:col>
      <xdr:colOff>1976438</xdr:colOff>
      <xdr:row>40</xdr:row>
      <xdr:rowOff>130969</xdr:rowOff>
    </xdr:to>
    <xdr:cxnSp macro="">
      <xdr:nvCxnSpPr>
        <xdr:cNvPr id="9" name="Straight Connector 8">
          <a:extLst>
            <a:ext uri="{FF2B5EF4-FFF2-40B4-BE49-F238E27FC236}">
              <a16:creationId xmlns:a16="http://schemas.microsoft.com/office/drawing/2014/main" id="{9A555BBD-9A7C-40D2-B2AF-5695DCBC8568}"/>
            </a:ext>
          </a:extLst>
        </xdr:cNvPr>
        <xdr:cNvCxnSpPr/>
      </xdr:nvCxnSpPr>
      <xdr:spPr>
        <a:xfrm>
          <a:off x="12289631" y="5750719"/>
          <a:ext cx="0" cy="0"/>
        </a:xfrm>
        <a:prstGeom prst="line">
          <a:avLst/>
        </a:prstGeom>
        <a:ln w="28575">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1360</xdr:colOff>
      <xdr:row>5</xdr:row>
      <xdr:rowOff>28573</xdr:rowOff>
    </xdr:from>
    <xdr:to>
      <xdr:col>19</xdr:col>
      <xdr:colOff>200024</xdr:colOff>
      <xdr:row>11</xdr:row>
      <xdr:rowOff>85448</xdr:rowOff>
    </xdr:to>
    <xdr:sp macro="" textlink="">
      <xdr:nvSpPr>
        <xdr:cNvPr id="10" name="Freeform: Shape 9">
          <a:extLst>
            <a:ext uri="{FF2B5EF4-FFF2-40B4-BE49-F238E27FC236}">
              <a16:creationId xmlns:a16="http://schemas.microsoft.com/office/drawing/2014/main" id="{82A1C4BF-4EC2-4F7A-A363-9643F60AC72D}"/>
            </a:ext>
          </a:extLst>
        </xdr:cNvPr>
        <xdr:cNvSpPr/>
      </xdr:nvSpPr>
      <xdr:spPr>
        <a:xfrm flipH="1" flipV="1">
          <a:off x="8562974" y="845002"/>
          <a:ext cx="198664" cy="1210760"/>
        </a:xfrm>
        <a:custGeom>
          <a:avLst/>
          <a:gdLst>
            <a:gd name="connsiteX0" fmla="*/ 57150 w 195960"/>
            <a:gd name="connsiteY0" fmla="*/ 657263 h 657263"/>
            <a:gd name="connsiteX1" fmla="*/ 171450 w 195960"/>
            <a:gd name="connsiteY1" fmla="*/ 381038 h 657263"/>
            <a:gd name="connsiteX2" fmla="*/ 180975 w 195960"/>
            <a:gd name="connsiteY2" fmla="*/ 47663 h 657263"/>
            <a:gd name="connsiteX3" fmla="*/ 0 w 195960"/>
            <a:gd name="connsiteY3" fmla="*/ 9563 h 657263"/>
            <a:gd name="connsiteX0" fmla="*/ 0 w 198720"/>
            <a:gd name="connsiteY0" fmla="*/ 714413 h 714413"/>
            <a:gd name="connsiteX1" fmla="*/ 171450 w 198720"/>
            <a:gd name="connsiteY1" fmla="*/ 381038 h 714413"/>
            <a:gd name="connsiteX2" fmla="*/ 180975 w 198720"/>
            <a:gd name="connsiteY2" fmla="*/ 47663 h 714413"/>
            <a:gd name="connsiteX3" fmla="*/ 0 w 198720"/>
            <a:gd name="connsiteY3" fmla="*/ 9563 h 714413"/>
            <a:gd name="connsiteX0" fmla="*/ 71933 w 195324"/>
            <a:gd name="connsiteY0" fmla="*/ 683352 h 683352"/>
            <a:gd name="connsiteX1" fmla="*/ 171450 w 195324"/>
            <a:gd name="connsiteY1" fmla="*/ 381038 h 683352"/>
            <a:gd name="connsiteX2" fmla="*/ 180975 w 195324"/>
            <a:gd name="connsiteY2" fmla="*/ 47663 h 683352"/>
            <a:gd name="connsiteX3" fmla="*/ 0 w 195324"/>
            <a:gd name="connsiteY3" fmla="*/ 9563 h 683352"/>
            <a:gd name="connsiteX0" fmla="*/ 71933 w 172089"/>
            <a:gd name="connsiteY0" fmla="*/ 674488 h 674488"/>
            <a:gd name="connsiteX1" fmla="*/ 171450 w 172089"/>
            <a:gd name="connsiteY1" fmla="*/ 372174 h 674488"/>
            <a:gd name="connsiteX2" fmla="*/ 109042 w 172089"/>
            <a:gd name="connsiteY2" fmla="*/ 194107 h 674488"/>
            <a:gd name="connsiteX3" fmla="*/ 0 w 172089"/>
            <a:gd name="connsiteY3" fmla="*/ 699 h 674488"/>
            <a:gd name="connsiteX0" fmla="*/ 111896 w 212157"/>
            <a:gd name="connsiteY0" fmla="*/ 541755 h 541755"/>
            <a:gd name="connsiteX1" fmla="*/ 211413 w 212157"/>
            <a:gd name="connsiteY1" fmla="*/ 239441 h 541755"/>
            <a:gd name="connsiteX2" fmla="*/ 149005 w 212157"/>
            <a:gd name="connsiteY2" fmla="*/ 61374 h 541755"/>
            <a:gd name="connsiteX3" fmla="*/ 0 w 212157"/>
            <a:gd name="connsiteY3" fmla="*/ 2565 h 541755"/>
            <a:gd name="connsiteX0" fmla="*/ 71933 w 172089"/>
            <a:gd name="connsiteY0" fmla="*/ 612721 h 612721"/>
            <a:gd name="connsiteX1" fmla="*/ 171450 w 172089"/>
            <a:gd name="connsiteY1" fmla="*/ 310407 h 612721"/>
            <a:gd name="connsiteX2" fmla="*/ 109042 w 172089"/>
            <a:gd name="connsiteY2" fmla="*/ 132340 h 612721"/>
            <a:gd name="connsiteX3" fmla="*/ 0 w 172089"/>
            <a:gd name="connsiteY3" fmla="*/ 1055 h 612721"/>
            <a:gd name="connsiteX0" fmla="*/ 71933 w 172089"/>
            <a:gd name="connsiteY0" fmla="*/ 611666 h 611666"/>
            <a:gd name="connsiteX1" fmla="*/ 171450 w 172089"/>
            <a:gd name="connsiteY1" fmla="*/ 309352 h 611666"/>
            <a:gd name="connsiteX2" fmla="*/ 109042 w 172089"/>
            <a:gd name="connsiteY2" fmla="*/ 131285 h 611666"/>
            <a:gd name="connsiteX3" fmla="*/ 0 w 172089"/>
            <a:gd name="connsiteY3" fmla="*/ 0 h 611666"/>
            <a:gd name="connsiteX0" fmla="*/ 71933 w 171616"/>
            <a:gd name="connsiteY0" fmla="*/ 611666 h 611666"/>
            <a:gd name="connsiteX1" fmla="*/ 171450 w 171616"/>
            <a:gd name="connsiteY1" fmla="*/ 309352 h 611666"/>
            <a:gd name="connsiteX2" fmla="*/ 93057 w 171616"/>
            <a:gd name="connsiteY2" fmla="*/ 172701 h 611666"/>
            <a:gd name="connsiteX3" fmla="*/ 0 w 171616"/>
            <a:gd name="connsiteY3" fmla="*/ 0 h 611666"/>
            <a:gd name="connsiteX0" fmla="*/ 71933 w 172904"/>
            <a:gd name="connsiteY0" fmla="*/ 611666 h 611666"/>
            <a:gd name="connsiteX1" fmla="*/ 171450 w 172904"/>
            <a:gd name="connsiteY1" fmla="*/ 309352 h 611666"/>
            <a:gd name="connsiteX2" fmla="*/ 0 w 172904"/>
            <a:gd name="connsiteY2" fmla="*/ 0 h 611666"/>
            <a:gd name="connsiteX0" fmla="*/ 279741 w 291225"/>
            <a:gd name="connsiteY0" fmla="*/ 383882 h 383882"/>
            <a:gd name="connsiteX1" fmla="*/ 171450 w 291225"/>
            <a:gd name="connsiteY1" fmla="*/ 309352 h 383882"/>
            <a:gd name="connsiteX2" fmla="*/ 0 w 291225"/>
            <a:gd name="connsiteY2" fmla="*/ 0 h 383882"/>
            <a:gd name="connsiteX0" fmla="*/ 279741 w 291882"/>
            <a:gd name="connsiteY0" fmla="*/ 383882 h 586498"/>
            <a:gd name="connsiteX1" fmla="*/ 179442 w 291882"/>
            <a:gd name="connsiteY1" fmla="*/ 578551 h 586498"/>
            <a:gd name="connsiteX2" fmla="*/ 0 w 291882"/>
            <a:gd name="connsiteY2" fmla="*/ 0 h 586498"/>
            <a:gd name="connsiteX0" fmla="*/ 287734 w 299984"/>
            <a:gd name="connsiteY0" fmla="*/ 17180 h 212422"/>
            <a:gd name="connsiteX1" fmla="*/ 187435 w 299984"/>
            <a:gd name="connsiteY1" fmla="*/ 211849 h 212422"/>
            <a:gd name="connsiteX2" fmla="*/ 0 w 299984"/>
            <a:gd name="connsiteY2" fmla="*/ 68159 h 212422"/>
            <a:gd name="connsiteX0" fmla="*/ 287734 w 299984"/>
            <a:gd name="connsiteY0" fmla="*/ 19608 h 173868"/>
            <a:gd name="connsiteX1" fmla="*/ 187435 w 299984"/>
            <a:gd name="connsiteY1" fmla="*/ 172862 h 173868"/>
            <a:gd name="connsiteX2" fmla="*/ 0 w 299984"/>
            <a:gd name="connsiteY2" fmla="*/ 70587 h 173868"/>
            <a:gd name="connsiteX0" fmla="*/ 167844 w 206214"/>
            <a:gd name="connsiteY0" fmla="*/ 19608 h 173867"/>
            <a:gd name="connsiteX1" fmla="*/ 187435 w 206214"/>
            <a:gd name="connsiteY1" fmla="*/ 172862 h 173867"/>
            <a:gd name="connsiteX2" fmla="*/ 0 w 206214"/>
            <a:gd name="connsiteY2" fmla="*/ 70587 h 173867"/>
            <a:gd name="connsiteX0" fmla="*/ 209206 w 215644"/>
            <a:gd name="connsiteY0" fmla="*/ 364626 h 421656"/>
            <a:gd name="connsiteX1" fmla="*/ 5004 w 215644"/>
            <a:gd name="connsiteY1" fmla="*/ 185 h 421656"/>
            <a:gd name="connsiteX2" fmla="*/ 41362 w 215644"/>
            <a:gd name="connsiteY2" fmla="*/ 415605 h 421656"/>
            <a:gd name="connsiteX0" fmla="*/ 217586 w 223860"/>
            <a:gd name="connsiteY0" fmla="*/ 74324 h 463384"/>
            <a:gd name="connsiteX1" fmla="*/ 5391 w 223860"/>
            <a:gd name="connsiteY1" fmla="*/ 41207 h 463384"/>
            <a:gd name="connsiteX2" fmla="*/ 41749 w 223860"/>
            <a:gd name="connsiteY2" fmla="*/ 456627 h 463384"/>
            <a:gd name="connsiteX0" fmla="*/ 319705 w 326583"/>
            <a:gd name="connsiteY0" fmla="*/ 63016 h 289307"/>
            <a:gd name="connsiteX1" fmla="*/ 107510 w 326583"/>
            <a:gd name="connsiteY1" fmla="*/ 29899 h 289307"/>
            <a:gd name="connsiteX2" fmla="*/ 0 w 326583"/>
            <a:gd name="connsiteY2" fmla="*/ 279657 h 289307"/>
            <a:gd name="connsiteX0" fmla="*/ 347905 w 352497"/>
            <a:gd name="connsiteY0" fmla="*/ 82994 h 308442"/>
            <a:gd name="connsiteX1" fmla="*/ 15820 w 352497"/>
            <a:gd name="connsiteY1" fmla="*/ 18815 h 308442"/>
            <a:gd name="connsiteX2" fmla="*/ 28200 w 352497"/>
            <a:gd name="connsiteY2" fmla="*/ 299635 h 308442"/>
            <a:gd name="connsiteX0" fmla="*/ 319705 w 325777"/>
            <a:gd name="connsiteY0" fmla="*/ 75689 h 301402"/>
            <a:gd name="connsiteX1" fmla="*/ 75539 w 325777"/>
            <a:gd name="connsiteY1" fmla="*/ 21864 h 301402"/>
            <a:gd name="connsiteX2" fmla="*/ 0 w 325777"/>
            <a:gd name="connsiteY2" fmla="*/ 292330 h 301402"/>
            <a:gd name="connsiteX0" fmla="*/ 258958 w 264810"/>
            <a:gd name="connsiteY0" fmla="*/ 77201 h 323186"/>
            <a:gd name="connsiteX1" fmla="*/ 14792 w 264810"/>
            <a:gd name="connsiteY1" fmla="*/ 23376 h 323186"/>
            <a:gd name="connsiteX2" fmla="*/ 3194 w 264810"/>
            <a:gd name="connsiteY2" fmla="*/ 314549 h 323186"/>
            <a:gd name="connsiteX0" fmla="*/ 247422 w 252967"/>
            <a:gd name="connsiteY0" fmla="*/ 78716 h 345013"/>
            <a:gd name="connsiteX1" fmla="*/ 3256 w 252967"/>
            <a:gd name="connsiteY1" fmla="*/ 24891 h 345013"/>
            <a:gd name="connsiteX2" fmla="*/ 87570 w 252967"/>
            <a:gd name="connsiteY2" fmla="*/ 336771 h 345013"/>
            <a:gd name="connsiteX0" fmla="*/ 159852 w 170029"/>
            <a:gd name="connsiteY0" fmla="*/ 43827 h 312065"/>
            <a:gd name="connsiteX1" fmla="*/ 51561 w 170029"/>
            <a:gd name="connsiteY1" fmla="*/ 62479 h 312065"/>
            <a:gd name="connsiteX2" fmla="*/ 0 w 170029"/>
            <a:gd name="connsiteY2" fmla="*/ 301882 h 312065"/>
            <a:gd name="connsiteX0" fmla="*/ 159852 w 170029"/>
            <a:gd name="connsiteY0" fmla="*/ 43827 h 301882"/>
            <a:gd name="connsiteX1" fmla="*/ 51561 w 170029"/>
            <a:gd name="connsiteY1" fmla="*/ 62479 h 301882"/>
            <a:gd name="connsiteX2" fmla="*/ 0 w 170029"/>
            <a:gd name="connsiteY2" fmla="*/ 301882 h 301882"/>
            <a:gd name="connsiteX0" fmla="*/ 207808 w 218474"/>
            <a:gd name="connsiteY0" fmla="*/ 42957 h 280305"/>
            <a:gd name="connsiteX1" fmla="*/ 99517 w 218474"/>
            <a:gd name="connsiteY1" fmla="*/ 61609 h 280305"/>
            <a:gd name="connsiteX2" fmla="*/ 0 w 218474"/>
            <a:gd name="connsiteY2" fmla="*/ 280304 h 280305"/>
            <a:gd name="connsiteX0" fmla="*/ 207808 w 218474"/>
            <a:gd name="connsiteY0" fmla="*/ 34403 h 313166"/>
            <a:gd name="connsiteX1" fmla="*/ 99517 w 218474"/>
            <a:gd name="connsiteY1" fmla="*/ 94471 h 313166"/>
            <a:gd name="connsiteX2" fmla="*/ 0 w 218474"/>
            <a:gd name="connsiteY2" fmla="*/ 313166 h 313166"/>
            <a:gd name="connsiteX0" fmla="*/ 215801 w 226028"/>
            <a:gd name="connsiteY0" fmla="*/ 101624 h 225078"/>
            <a:gd name="connsiteX1" fmla="*/ 99517 w 226028"/>
            <a:gd name="connsiteY1" fmla="*/ 6383 h 225078"/>
            <a:gd name="connsiteX2" fmla="*/ 0 w 226028"/>
            <a:gd name="connsiteY2" fmla="*/ 225078 h 225078"/>
            <a:gd name="connsiteX0" fmla="*/ 231786 w 241235"/>
            <a:gd name="connsiteY0" fmla="*/ 915639 h 915639"/>
            <a:gd name="connsiteX1" fmla="*/ 99517 w 241235"/>
            <a:gd name="connsiteY1" fmla="*/ 33502 h 915639"/>
            <a:gd name="connsiteX2" fmla="*/ 0 w 241235"/>
            <a:gd name="connsiteY2" fmla="*/ 252197 h 915639"/>
            <a:gd name="connsiteX0" fmla="*/ 231786 w 291831"/>
            <a:gd name="connsiteY0" fmla="*/ 716898 h 716898"/>
            <a:gd name="connsiteX1" fmla="*/ 275355 w 291831"/>
            <a:gd name="connsiteY1" fmla="*/ 197148 h 716898"/>
            <a:gd name="connsiteX2" fmla="*/ 0 w 291831"/>
            <a:gd name="connsiteY2" fmla="*/ 53456 h 716898"/>
            <a:gd name="connsiteX0" fmla="*/ 231786 w 291831"/>
            <a:gd name="connsiteY0" fmla="*/ 664415 h 664415"/>
            <a:gd name="connsiteX1" fmla="*/ 275355 w 291831"/>
            <a:gd name="connsiteY1" fmla="*/ 144665 h 664415"/>
            <a:gd name="connsiteX2" fmla="*/ 0 w 291831"/>
            <a:gd name="connsiteY2" fmla="*/ 973 h 664415"/>
            <a:gd name="connsiteX0" fmla="*/ 207808 w 266093"/>
            <a:gd name="connsiteY0" fmla="*/ 597990 h 597990"/>
            <a:gd name="connsiteX1" fmla="*/ 251377 w 266093"/>
            <a:gd name="connsiteY1" fmla="*/ 78240 h 597990"/>
            <a:gd name="connsiteX2" fmla="*/ 0 w 266093"/>
            <a:gd name="connsiteY2" fmla="*/ 7025 h 597990"/>
            <a:gd name="connsiteX0" fmla="*/ 207808 w 307835"/>
            <a:gd name="connsiteY0" fmla="*/ 591647 h 591647"/>
            <a:gd name="connsiteX1" fmla="*/ 299333 w 307835"/>
            <a:gd name="connsiteY1" fmla="*/ 154729 h 591647"/>
            <a:gd name="connsiteX2" fmla="*/ 0 w 307835"/>
            <a:gd name="connsiteY2" fmla="*/ 682 h 591647"/>
            <a:gd name="connsiteX0" fmla="*/ 207808 w 222715"/>
            <a:gd name="connsiteY0" fmla="*/ 591518 h 591518"/>
            <a:gd name="connsiteX1" fmla="*/ 144634 w 222715"/>
            <a:gd name="connsiteY1" fmla="*/ 171626 h 591518"/>
            <a:gd name="connsiteX2" fmla="*/ 0 w 222715"/>
            <a:gd name="connsiteY2" fmla="*/ 553 h 591518"/>
            <a:gd name="connsiteX0" fmla="*/ 207808 w 222715"/>
            <a:gd name="connsiteY0" fmla="*/ 591099 h 591099"/>
            <a:gd name="connsiteX1" fmla="*/ 144634 w 222715"/>
            <a:gd name="connsiteY1" fmla="*/ 171207 h 591099"/>
            <a:gd name="connsiteX2" fmla="*/ 0 w 222715"/>
            <a:gd name="connsiteY2" fmla="*/ 134 h 591099"/>
            <a:gd name="connsiteX0" fmla="*/ 207808 w 208015"/>
            <a:gd name="connsiteY0" fmla="*/ 591099 h 591099"/>
            <a:gd name="connsiteX1" fmla="*/ 144634 w 208015"/>
            <a:gd name="connsiteY1" fmla="*/ 171207 h 591099"/>
            <a:gd name="connsiteX2" fmla="*/ 0 w 208015"/>
            <a:gd name="connsiteY2" fmla="*/ 134 h 591099"/>
            <a:gd name="connsiteX0" fmla="*/ 207808 w 208015"/>
            <a:gd name="connsiteY0" fmla="*/ 590965 h 590965"/>
            <a:gd name="connsiteX1" fmla="*/ 144634 w 208015"/>
            <a:gd name="connsiteY1" fmla="*/ 171073 h 590965"/>
            <a:gd name="connsiteX2" fmla="*/ 0 w 208015"/>
            <a:gd name="connsiteY2" fmla="*/ 0 h 590965"/>
            <a:gd name="connsiteX0" fmla="*/ 207808 w 208015"/>
            <a:gd name="connsiteY0" fmla="*/ 590965 h 590965"/>
            <a:gd name="connsiteX1" fmla="*/ 144634 w 208015"/>
            <a:gd name="connsiteY1" fmla="*/ 171073 h 590965"/>
            <a:gd name="connsiteX2" fmla="*/ 0 w 208015"/>
            <a:gd name="connsiteY2" fmla="*/ 0 h 590965"/>
            <a:gd name="connsiteX0" fmla="*/ 207808 w 208015"/>
            <a:gd name="connsiteY0" fmla="*/ 590965 h 590965"/>
            <a:gd name="connsiteX1" fmla="*/ 144634 w 208015"/>
            <a:gd name="connsiteY1" fmla="*/ 171073 h 590965"/>
            <a:gd name="connsiteX2" fmla="*/ 0 w 208015"/>
            <a:gd name="connsiteY2" fmla="*/ 0 h 590965"/>
          </a:gdLst>
          <a:ahLst/>
          <a:cxnLst>
            <a:cxn ang="0">
              <a:pos x="connsiteX0" y="connsiteY0"/>
            </a:cxn>
            <a:cxn ang="0">
              <a:pos x="connsiteX1" y="connsiteY1"/>
            </a:cxn>
            <a:cxn ang="0">
              <a:pos x="connsiteX2" y="connsiteY2"/>
            </a:cxn>
          </a:cxnLst>
          <a:rect l="l" t="t" r="r" b="b"/>
          <a:pathLst>
            <a:path w="208015" h="590965">
              <a:moveTo>
                <a:pt x="207808" y="590965"/>
              </a:moveTo>
              <a:cubicBezTo>
                <a:pt x="210886" y="486627"/>
                <a:pt x="179269" y="269567"/>
                <a:pt x="144634" y="171073"/>
              </a:cubicBezTo>
              <a:cubicBezTo>
                <a:pt x="109999" y="72579"/>
                <a:pt x="107343" y="67957"/>
                <a:pt x="0" y="0"/>
              </a:cubicBezTo>
            </a:path>
          </a:pathLst>
        </a:custGeom>
        <a:noFill/>
        <a:ln>
          <a:headEnd type="none"/>
          <a:tailEnd type="arrow" w="sm"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17</xdr:col>
      <xdr:colOff>9528</xdr:colOff>
      <xdr:row>9</xdr:row>
      <xdr:rowOff>38094</xdr:rowOff>
    </xdr:from>
    <xdr:to>
      <xdr:col>17</xdr:col>
      <xdr:colOff>152400</xdr:colOff>
      <xdr:row>14</xdr:row>
      <xdr:rowOff>47624</xdr:rowOff>
    </xdr:to>
    <xdr:sp macro="" textlink="">
      <xdr:nvSpPr>
        <xdr:cNvPr id="11" name="Freeform: Shape 10">
          <a:extLst>
            <a:ext uri="{FF2B5EF4-FFF2-40B4-BE49-F238E27FC236}">
              <a16:creationId xmlns:a16="http://schemas.microsoft.com/office/drawing/2014/main" id="{52004346-70F9-4B25-9A46-31B6EAA87879}"/>
            </a:ext>
          </a:extLst>
        </xdr:cNvPr>
        <xdr:cNvSpPr/>
      </xdr:nvSpPr>
      <xdr:spPr>
        <a:xfrm rot="16200000">
          <a:off x="7529511" y="2024061"/>
          <a:ext cx="971555" cy="142872"/>
        </a:xfrm>
        <a:custGeom>
          <a:avLst/>
          <a:gdLst>
            <a:gd name="connsiteX0" fmla="*/ 57150 w 195960"/>
            <a:gd name="connsiteY0" fmla="*/ 657263 h 657263"/>
            <a:gd name="connsiteX1" fmla="*/ 171450 w 195960"/>
            <a:gd name="connsiteY1" fmla="*/ 381038 h 657263"/>
            <a:gd name="connsiteX2" fmla="*/ 180975 w 195960"/>
            <a:gd name="connsiteY2" fmla="*/ 47663 h 657263"/>
            <a:gd name="connsiteX3" fmla="*/ 0 w 195960"/>
            <a:gd name="connsiteY3" fmla="*/ 9563 h 657263"/>
            <a:gd name="connsiteX0" fmla="*/ 0 w 198720"/>
            <a:gd name="connsiteY0" fmla="*/ 714413 h 714413"/>
            <a:gd name="connsiteX1" fmla="*/ 171450 w 198720"/>
            <a:gd name="connsiteY1" fmla="*/ 381038 h 714413"/>
            <a:gd name="connsiteX2" fmla="*/ 180975 w 198720"/>
            <a:gd name="connsiteY2" fmla="*/ 47663 h 714413"/>
            <a:gd name="connsiteX3" fmla="*/ 0 w 198720"/>
            <a:gd name="connsiteY3" fmla="*/ 9563 h 714413"/>
            <a:gd name="connsiteX0" fmla="*/ 71933 w 195324"/>
            <a:gd name="connsiteY0" fmla="*/ 683352 h 683352"/>
            <a:gd name="connsiteX1" fmla="*/ 171450 w 195324"/>
            <a:gd name="connsiteY1" fmla="*/ 381038 h 683352"/>
            <a:gd name="connsiteX2" fmla="*/ 180975 w 195324"/>
            <a:gd name="connsiteY2" fmla="*/ 47663 h 683352"/>
            <a:gd name="connsiteX3" fmla="*/ 0 w 195324"/>
            <a:gd name="connsiteY3" fmla="*/ 9563 h 683352"/>
            <a:gd name="connsiteX0" fmla="*/ 71933 w 172089"/>
            <a:gd name="connsiteY0" fmla="*/ 674488 h 674488"/>
            <a:gd name="connsiteX1" fmla="*/ 171450 w 172089"/>
            <a:gd name="connsiteY1" fmla="*/ 372174 h 674488"/>
            <a:gd name="connsiteX2" fmla="*/ 109042 w 172089"/>
            <a:gd name="connsiteY2" fmla="*/ 194107 h 674488"/>
            <a:gd name="connsiteX3" fmla="*/ 0 w 172089"/>
            <a:gd name="connsiteY3" fmla="*/ 699 h 674488"/>
            <a:gd name="connsiteX0" fmla="*/ 111896 w 212157"/>
            <a:gd name="connsiteY0" fmla="*/ 541755 h 541755"/>
            <a:gd name="connsiteX1" fmla="*/ 211413 w 212157"/>
            <a:gd name="connsiteY1" fmla="*/ 239441 h 541755"/>
            <a:gd name="connsiteX2" fmla="*/ 149005 w 212157"/>
            <a:gd name="connsiteY2" fmla="*/ 61374 h 541755"/>
            <a:gd name="connsiteX3" fmla="*/ 0 w 212157"/>
            <a:gd name="connsiteY3" fmla="*/ 2565 h 541755"/>
            <a:gd name="connsiteX0" fmla="*/ 71933 w 172089"/>
            <a:gd name="connsiteY0" fmla="*/ 612721 h 612721"/>
            <a:gd name="connsiteX1" fmla="*/ 171450 w 172089"/>
            <a:gd name="connsiteY1" fmla="*/ 310407 h 612721"/>
            <a:gd name="connsiteX2" fmla="*/ 109042 w 172089"/>
            <a:gd name="connsiteY2" fmla="*/ 132340 h 612721"/>
            <a:gd name="connsiteX3" fmla="*/ 0 w 172089"/>
            <a:gd name="connsiteY3" fmla="*/ 1055 h 612721"/>
            <a:gd name="connsiteX0" fmla="*/ 71933 w 172089"/>
            <a:gd name="connsiteY0" fmla="*/ 611666 h 611666"/>
            <a:gd name="connsiteX1" fmla="*/ 171450 w 172089"/>
            <a:gd name="connsiteY1" fmla="*/ 309352 h 611666"/>
            <a:gd name="connsiteX2" fmla="*/ 109042 w 172089"/>
            <a:gd name="connsiteY2" fmla="*/ 131285 h 611666"/>
            <a:gd name="connsiteX3" fmla="*/ 0 w 172089"/>
            <a:gd name="connsiteY3" fmla="*/ 0 h 611666"/>
            <a:gd name="connsiteX0" fmla="*/ 71933 w 171616"/>
            <a:gd name="connsiteY0" fmla="*/ 611666 h 611666"/>
            <a:gd name="connsiteX1" fmla="*/ 171450 w 171616"/>
            <a:gd name="connsiteY1" fmla="*/ 309352 h 611666"/>
            <a:gd name="connsiteX2" fmla="*/ 93057 w 171616"/>
            <a:gd name="connsiteY2" fmla="*/ 172701 h 611666"/>
            <a:gd name="connsiteX3" fmla="*/ 0 w 171616"/>
            <a:gd name="connsiteY3" fmla="*/ 0 h 611666"/>
            <a:gd name="connsiteX0" fmla="*/ 71933 w 172904"/>
            <a:gd name="connsiteY0" fmla="*/ 611666 h 611666"/>
            <a:gd name="connsiteX1" fmla="*/ 171450 w 172904"/>
            <a:gd name="connsiteY1" fmla="*/ 309352 h 611666"/>
            <a:gd name="connsiteX2" fmla="*/ 0 w 172904"/>
            <a:gd name="connsiteY2" fmla="*/ 0 h 611666"/>
            <a:gd name="connsiteX0" fmla="*/ 279741 w 291225"/>
            <a:gd name="connsiteY0" fmla="*/ 383882 h 383882"/>
            <a:gd name="connsiteX1" fmla="*/ 171450 w 291225"/>
            <a:gd name="connsiteY1" fmla="*/ 309352 h 383882"/>
            <a:gd name="connsiteX2" fmla="*/ 0 w 291225"/>
            <a:gd name="connsiteY2" fmla="*/ 0 h 383882"/>
            <a:gd name="connsiteX0" fmla="*/ 279741 w 291882"/>
            <a:gd name="connsiteY0" fmla="*/ 383882 h 586498"/>
            <a:gd name="connsiteX1" fmla="*/ 179442 w 291882"/>
            <a:gd name="connsiteY1" fmla="*/ 578551 h 586498"/>
            <a:gd name="connsiteX2" fmla="*/ 0 w 291882"/>
            <a:gd name="connsiteY2" fmla="*/ 0 h 586498"/>
            <a:gd name="connsiteX0" fmla="*/ 287734 w 299984"/>
            <a:gd name="connsiteY0" fmla="*/ 17180 h 212422"/>
            <a:gd name="connsiteX1" fmla="*/ 187435 w 299984"/>
            <a:gd name="connsiteY1" fmla="*/ 211849 h 212422"/>
            <a:gd name="connsiteX2" fmla="*/ 0 w 299984"/>
            <a:gd name="connsiteY2" fmla="*/ 68159 h 212422"/>
            <a:gd name="connsiteX0" fmla="*/ 287734 w 299984"/>
            <a:gd name="connsiteY0" fmla="*/ 19608 h 173868"/>
            <a:gd name="connsiteX1" fmla="*/ 187435 w 299984"/>
            <a:gd name="connsiteY1" fmla="*/ 172862 h 173868"/>
            <a:gd name="connsiteX2" fmla="*/ 0 w 299984"/>
            <a:gd name="connsiteY2" fmla="*/ 70587 h 173868"/>
            <a:gd name="connsiteX0" fmla="*/ 167844 w 206214"/>
            <a:gd name="connsiteY0" fmla="*/ 19608 h 173867"/>
            <a:gd name="connsiteX1" fmla="*/ 187435 w 206214"/>
            <a:gd name="connsiteY1" fmla="*/ 172862 h 173867"/>
            <a:gd name="connsiteX2" fmla="*/ 0 w 206214"/>
            <a:gd name="connsiteY2" fmla="*/ 70587 h 173867"/>
            <a:gd name="connsiteX0" fmla="*/ 209206 w 215644"/>
            <a:gd name="connsiteY0" fmla="*/ 364626 h 421656"/>
            <a:gd name="connsiteX1" fmla="*/ 5004 w 215644"/>
            <a:gd name="connsiteY1" fmla="*/ 185 h 421656"/>
            <a:gd name="connsiteX2" fmla="*/ 41362 w 215644"/>
            <a:gd name="connsiteY2" fmla="*/ 415605 h 421656"/>
            <a:gd name="connsiteX0" fmla="*/ 217586 w 223860"/>
            <a:gd name="connsiteY0" fmla="*/ 74324 h 463384"/>
            <a:gd name="connsiteX1" fmla="*/ 5391 w 223860"/>
            <a:gd name="connsiteY1" fmla="*/ 41207 h 463384"/>
            <a:gd name="connsiteX2" fmla="*/ 41749 w 223860"/>
            <a:gd name="connsiteY2" fmla="*/ 456627 h 463384"/>
            <a:gd name="connsiteX0" fmla="*/ 319705 w 326583"/>
            <a:gd name="connsiteY0" fmla="*/ 63016 h 289307"/>
            <a:gd name="connsiteX1" fmla="*/ 107510 w 326583"/>
            <a:gd name="connsiteY1" fmla="*/ 29899 h 289307"/>
            <a:gd name="connsiteX2" fmla="*/ 0 w 326583"/>
            <a:gd name="connsiteY2" fmla="*/ 279657 h 289307"/>
            <a:gd name="connsiteX0" fmla="*/ 347905 w 352497"/>
            <a:gd name="connsiteY0" fmla="*/ 82994 h 308442"/>
            <a:gd name="connsiteX1" fmla="*/ 15820 w 352497"/>
            <a:gd name="connsiteY1" fmla="*/ 18815 h 308442"/>
            <a:gd name="connsiteX2" fmla="*/ 28200 w 352497"/>
            <a:gd name="connsiteY2" fmla="*/ 299635 h 308442"/>
            <a:gd name="connsiteX0" fmla="*/ 319705 w 325777"/>
            <a:gd name="connsiteY0" fmla="*/ 75689 h 301402"/>
            <a:gd name="connsiteX1" fmla="*/ 75539 w 325777"/>
            <a:gd name="connsiteY1" fmla="*/ 21864 h 301402"/>
            <a:gd name="connsiteX2" fmla="*/ 0 w 325777"/>
            <a:gd name="connsiteY2" fmla="*/ 292330 h 301402"/>
            <a:gd name="connsiteX0" fmla="*/ 258958 w 264810"/>
            <a:gd name="connsiteY0" fmla="*/ 77201 h 323186"/>
            <a:gd name="connsiteX1" fmla="*/ 14792 w 264810"/>
            <a:gd name="connsiteY1" fmla="*/ 23376 h 323186"/>
            <a:gd name="connsiteX2" fmla="*/ 3194 w 264810"/>
            <a:gd name="connsiteY2" fmla="*/ 314549 h 323186"/>
            <a:gd name="connsiteX0" fmla="*/ 247422 w 252967"/>
            <a:gd name="connsiteY0" fmla="*/ 78716 h 345013"/>
            <a:gd name="connsiteX1" fmla="*/ 3256 w 252967"/>
            <a:gd name="connsiteY1" fmla="*/ 24891 h 345013"/>
            <a:gd name="connsiteX2" fmla="*/ 87570 w 252967"/>
            <a:gd name="connsiteY2" fmla="*/ 336771 h 345013"/>
            <a:gd name="connsiteX0" fmla="*/ 159852 w 170029"/>
            <a:gd name="connsiteY0" fmla="*/ 43827 h 312065"/>
            <a:gd name="connsiteX1" fmla="*/ 51561 w 170029"/>
            <a:gd name="connsiteY1" fmla="*/ 62479 h 312065"/>
            <a:gd name="connsiteX2" fmla="*/ 0 w 170029"/>
            <a:gd name="connsiteY2" fmla="*/ 301882 h 312065"/>
            <a:gd name="connsiteX0" fmla="*/ 159852 w 170029"/>
            <a:gd name="connsiteY0" fmla="*/ 43827 h 301882"/>
            <a:gd name="connsiteX1" fmla="*/ 51561 w 170029"/>
            <a:gd name="connsiteY1" fmla="*/ 62479 h 301882"/>
            <a:gd name="connsiteX2" fmla="*/ 0 w 170029"/>
            <a:gd name="connsiteY2" fmla="*/ 301882 h 301882"/>
            <a:gd name="connsiteX0" fmla="*/ 207808 w 218474"/>
            <a:gd name="connsiteY0" fmla="*/ 42957 h 280305"/>
            <a:gd name="connsiteX1" fmla="*/ 99517 w 218474"/>
            <a:gd name="connsiteY1" fmla="*/ 61609 h 280305"/>
            <a:gd name="connsiteX2" fmla="*/ 0 w 218474"/>
            <a:gd name="connsiteY2" fmla="*/ 280304 h 280305"/>
            <a:gd name="connsiteX0" fmla="*/ 207808 w 218474"/>
            <a:gd name="connsiteY0" fmla="*/ 34403 h 313166"/>
            <a:gd name="connsiteX1" fmla="*/ 99517 w 218474"/>
            <a:gd name="connsiteY1" fmla="*/ 94471 h 313166"/>
            <a:gd name="connsiteX2" fmla="*/ 0 w 218474"/>
            <a:gd name="connsiteY2" fmla="*/ 313166 h 313166"/>
            <a:gd name="connsiteX0" fmla="*/ 215801 w 226028"/>
            <a:gd name="connsiteY0" fmla="*/ 101624 h 225078"/>
            <a:gd name="connsiteX1" fmla="*/ 99517 w 226028"/>
            <a:gd name="connsiteY1" fmla="*/ 6383 h 225078"/>
            <a:gd name="connsiteX2" fmla="*/ 0 w 226028"/>
            <a:gd name="connsiteY2" fmla="*/ 225078 h 225078"/>
            <a:gd name="connsiteX0" fmla="*/ 231786 w 241235"/>
            <a:gd name="connsiteY0" fmla="*/ 915639 h 915639"/>
            <a:gd name="connsiteX1" fmla="*/ 99517 w 241235"/>
            <a:gd name="connsiteY1" fmla="*/ 33502 h 915639"/>
            <a:gd name="connsiteX2" fmla="*/ 0 w 241235"/>
            <a:gd name="connsiteY2" fmla="*/ 252197 h 915639"/>
            <a:gd name="connsiteX0" fmla="*/ 231786 w 291831"/>
            <a:gd name="connsiteY0" fmla="*/ 716898 h 716898"/>
            <a:gd name="connsiteX1" fmla="*/ 275355 w 291831"/>
            <a:gd name="connsiteY1" fmla="*/ 197148 h 716898"/>
            <a:gd name="connsiteX2" fmla="*/ 0 w 291831"/>
            <a:gd name="connsiteY2" fmla="*/ 53456 h 716898"/>
            <a:gd name="connsiteX0" fmla="*/ 231786 w 291831"/>
            <a:gd name="connsiteY0" fmla="*/ 664415 h 664415"/>
            <a:gd name="connsiteX1" fmla="*/ 275355 w 291831"/>
            <a:gd name="connsiteY1" fmla="*/ 144665 h 664415"/>
            <a:gd name="connsiteX2" fmla="*/ 0 w 291831"/>
            <a:gd name="connsiteY2" fmla="*/ 973 h 664415"/>
            <a:gd name="connsiteX0" fmla="*/ 207808 w 266093"/>
            <a:gd name="connsiteY0" fmla="*/ 597990 h 597990"/>
            <a:gd name="connsiteX1" fmla="*/ 251377 w 266093"/>
            <a:gd name="connsiteY1" fmla="*/ 78240 h 597990"/>
            <a:gd name="connsiteX2" fmla="*/ 0 w 266093"/>
            <a:gd name="connsiteY2" fmla="*/ 7025 h 597990"/>
            <a:gd name="connsiteX0" fmla="*/ 207808 w 307835"/>
            <a:gd name="connsiteY0" fmla="*/ 591647 h 591647"/>
            <a:gd name="connsiteX1" fmla="*/ 299333 w 307835"/>
            <a:gd name="connsiteY1" fmla="*/ 154729 h 591647"/>
            <a:gd name="connsiteX2" fmla="*/ 0 w 307835"/>
            <a:gd name="connsiteY2" fmla="*/ 682 h 591647"/>
            <a:gd name="connsiteX0" fmla="*/ 207808 w 222715"/>
            <a:gd name="connsiteY0" fmla="*/ 591518 h 591518"/>
            <a:gd name="connsiteX1" fmla="*/ 144634 w 222715"/>
            <a:gd name="connsiteY1" fmla="*/ 171626 h 591518"/>
            <a:gd name="connsiteX2" fmla="*/ 0 w 222715"/>
            <a:gd name="connsiteY2" fmla="*/ 553 h 591518"/>
            <a:gd name="connsiteX0" fmla="*/ 207808 w 222715"/>
            <a:gd name="connsiteY0" fmla="*/ 591099 h 591099"/>
            <a:gd name="connsiteX1" fmla="*/ 144634 w 222715"/>
            <a:gd name="connsiteY1" fmla="*/ 171207 h 591099"/>
            <a:gd name="connsiteX2" fmla="*/ 0 w 222715"/>
            <a:gd name="connsiteY2" fmla="*/ 134 h 591099"/>
            <a:gd name="connsiteX0" fmla="*/ 207808 w 208015"/>
            <a:gd name="connsiteY0" fmla="*/ 591099 h 591099"/>
            <a:gd name="connsiteX1" fmla="*/ 144634 w 208015"/>
            <a:gd name="connsiteY1" fmla="*/ 171207 h 591099"/>
            <a:gd name="connsiteX2" fmla="*/ 0 w 208015"/>
            <a:gd name="connsiteY2" fmla="*/ 134 h 591099"/>
            <a:gd name="connsiteX0" fmla="*/ 225548 w 225755"/>
            <a:gd name="connsiteY0" fmla="*/ 439341 h 439341"/>
            <a:gd name="connsiteX1" fmla="*/ 162374 w 225755"/>
            <a:gd name="connsiteY1" fmla="*/ 19449 h 439341"/>
            <a:gd name="connsiteX2" fmla="*/ 0 w 225755"/>
            <a:gd name="connsiteY2" fmla="*/ 232158 h 439341"/>
            <a:gd name="connsiteX0" fmla="*/ 225548 w 225678"/>
            <a:gd name="connsiteY0" fmla="*/ 1448516 h 1448516"/>
            <a:gd name="connsiteX1" fmla="*/ 142100 w 225678"/>
            <a:gd name="connsiteY1" fmla="*/ 5209 h 1448516"/>
            <a:gd name="connsiteX2" fmla="*/ 0 w 225678"/>
            <a:gd name="connsiteY2" fmla="*/ 1241333 h 1448516"/>
            <a:gd name="connsiteX0" fmla="*/ 225548 w 225678"/>
            <a:gd name="connsiteY0" fmla="*/ 1510625 h 1510625"/>
            <a:gd name="connsiteX1" fmla="*/ 142100 w 225678"/>
            <a:gd name="connsiteY1" fmla="*/ 67318 h 1510625"/>
            <a:gd name="connsiteX2" fmla="*/ 0 w 225678"/>
            <a:gd name="connsiteY2" fmla="*/ 1303442 h 1510625"/>
            <a:gd name="connsiteX0" fmla="*/ 248115 w 248245"/>
            <a:gd name="connsiteY0" fmla="*/ 1531866 h 1531866"/>
            <a:gd name="connsiteX1" fmla="*/ 164667 w 248245"/>
            <a:gd name="connsiteY1" fmla="*/ 88559 h 1531866"/>
            <a:gd name="connsiteX2" fmla="*/ 0 w 248245"/>
            <a:gd name="connsiteY2" fmla="*/ 1234947 h 1531866"/>
            <a:gd name="connsiteX0" fmla="*/ 248115 w 248254"/>
            <a:gd name="connsiteY0" fmla="*/ 1010100 h 1010100"/>
            <a:gd name="connsiteX1" fmla="*/ 167891 w 248254"/>
            <a:gd name="connsiteY1" fmla="*/ 688549 h 1010100"/>
            <a:gd name="connsiteX2" fmla="*/ 0 w 248254"/>
            <a:gd name="connsiteY2" fmla="*/ 713181 h 1010100"/>
            <a:gd name="connsiteX0" fmla="*/ 220711 w 221005"/>
            <a:gd name="connsiteY0" fmla="*/ 4523 h 1562229"/>
            <a:gd name="connsiteX1" fmla="*/ 167891 w 221005"/>
            <a:gd name="connsiteY1" fmla="*/ 1537597 h 1562229"/>
            <a:gd name="connsiteX2" fmla="*/ 0 w 221005"/>
            <a:gd name="connsiteY2" fmla="*/ 1562229 h 1562229"/>
            <a:gd name="connsiteX0" fmla="*/ 220711 w 220882"/>
            <a:gd name="connsiteY0" fmla="*/ 5266 h 1562972"/>
            <a:gd name="connsiteX1" fmla="*/ 150159 w 220882"/>
            <a:gd name="connsiteY1" fmla="*/ 1284080 h 1562972"/>
            <a:gd name="connsiteX2" fmla="*/ 0 w 220882"/>
            <a:gd name="connsiteY2" fmla="*/ 1562972 h 1562972"/>
            <a:gd name="connsiteX0" fmla="*/ 220711 w 220882"/>
            <a:gd name="connsiteY0" fmla="*/ 5266 h 1562972"/>
            <a:gd name="connsiteX1" fmla="*/ 150159 w 220882"/>
            <a:gd name="connsiteY1" fmla="*/ 1284080 h 1562972"/>
            <a:gd name="connsiteX2" fmla="*/ 0 w 220882"/>
            <a:gd name="connsiteY2" fmla="*/ 1562972 h 1562972"/>
            <a:gd name="connsiteX0" fmla="*/ 220711 w 220882"/>
            <a:gd name="connsiteY0" fmla="*/ 5266 h 1688982"/>
            <a:gd name="connsiteX1" fmla="*/ 150159 w 220882"/>
            <a:gd name="connsiteY1" fmla="*/ 1284080 h 1688982"/>
            <a:gd name="connsiteX2" fmla="*/ 0 w 220882"/>
            <a:gd name="connsiteY2" fmla="*/ 1562972 h 1688982"/>
            <a:gd name="connsiteX0" fmla="*/ 220711 w 221092"/>
            <a:gd name="connsiteY0" fmla="*/ 7997 h 1691713"/>
            <a:gd name="connsiteX1" fmla="*/ 150159 w 221092"/>
            <a:gd name="connsiteY1" fmla="*/ 1286811 h 1691713"/>
            <a:gd name="connsiteX2" fmla="*/ 0 w 221092"/>
            <a:gd name="connsiteY2" fmla="*/ 1565703 h 1691713"/>
            <a:gd name="connsiteX0" fmla="*/ 220711 w 220875"/>
            <a:gd name="connsiteY0" fmla="*/ 7366 h 1691082"/>
            <a:gd name="connsiteX1" fmla="*/ 150159 w 220875"/>
            <a:gd name="connsiteY1" fmla="*/ 1286180 h 1691082"/>
            <a:gd name="connsiteX2" fmla="*/ 0 w 220875"/>
            <a:gd name="connsiteY2" fmla="*/ 1565072 h 1691082"/>
            <a:gd name="connsiteX0" fmla="*/ 202979 w 203147"/>
            <a:gd name="connsiteY0" fmla="*/ 6904 h 1749642"/>
            <a:gd name="connsiteX1" fmla="*/ 132427 w 203147"/>
            <a:gd name="connsiteY1" fmla="*/ 1285718 h 1749642"/>
            <a:gd name="connsiteX2" fmla="*/ 0 w 203147"/>
            <a:gd name="connsiteY2" fmla="*/ 1654354 h 1749642"/>
            <a:gd name="connsiteX0" fmla="*/ 202979 w 203147"/>
            <a:gd name="connsiteY0" fmla="*/ 6904 h 1654354"/>
            <a:gd name="connsiteX1" fmla="*/ 132427 w 203147"/>
            <a:gd name="connsiteY1" fmla="*/ 1285718 h 1654354"/>
            <a:gd name="connsiteX2" fmla="*/ 0 w 203147"/>
            <a:gd name="connsiteY2" fmla="*/ 1654354 h 1654354"/>
          </a:gdLst>
          <a:ahLst/>
          <a:cxnLst>
            <a:cxn ang="0">
              <a:pos x="connsiteX0" y="connsiteY0"/>
            </a:cxn>
            <a:cxn ang="0">
              <a:pos x="connsiteX1" y="connsiteY1"/>
            </a:cxn>
            <a:cxn ang="0">
              <a:pos x="connsiteX2" y="connsiteY2"/>
            </a:cxn>
          </a:cxnLst>
          <a:rect l="l" t="t" r="r" b="b"/>
          <a:pathLst>
            <a:path w="203147" h="1654354">
              <a:moveTo>
                <a:pt x="202979" y="6904"/>
              </a:moveTo>
              <a:cubicBezTo>
                <a:pt x="206057" y="-97434"/>
                <a:pt x="166257" y="1011143"/>
                <a:pt x="132427" y="1285718"/>
              </a:cubicBezTo>
              <a:cubicBezTo>
                <a:pt x="98597" y="1560293"/>
                <a:pt x="108725" y="1566258"/>
                <a:pt x="0" y="1654354"/>
              </a:cubicBezTo>
            </a:path>
          </a:pathLst>
        </a:custGeom>
        <a:noFill/>
        <a:ln>
          <a:headEnd type="none"/>
          <a:tailEnd type="arrow" w="sm"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361949</xdr:colOff>
      <xdr:row>26</xdr:row>
      <xdr:rowOff>47626</xdr:rowOff>
    </xdr:from>
    <xdr:to>
      <xdr:col>11</xdr:col>
      <xdr:colOff>400049</xdr:colOff>
      <xdr:row>27</xdr:row>
      <xdr:rowOff>85726</xdr:rowOff>
    </xdr:to>
    <xdr:sp macro="" textlink="">
      <xdr:nvSpPr>
        <xdr:cNvPr id="13" name="Freeform: Shape 12">
          <a:extLst>
            <a:ext uri="{FF2B5EF4-FFF2-40B4-BE49-F238E27FC236}">
              <a16:creationId xmlns:a16="http://schemas.microsoft.com/office/drawing/2014/main" id="{263FCDDC-DC06-4EB9-BD4A-BC09D6140170}"/>
            </a:ext>
          </a:extLst>
        </xdr:cNvPr>
        <xdr:cNvSpPr/>
      </xdr:nvSpPr>
      <xdr:spPr>
        <a:xfrm flipH="1">
          <a:off x="4562474" y="5000626"/>
          <a:ext cx="1190625" cy="228600"/>
        </a:xfrm>
        <a:custGeom>
          <a:avLst/>
          <a:gdLst>
            <a:gd name="connsiteX0" fmla="*/ 57150 w 195960"/>
            <a:gd name="connsiteY0" fmla="*/ 657263 h 657263"/>
            <a:gd name="connsiteX1" fmla="*/ 171450 w 195960"/>
            <a:gd name="connsiteY1" fmla="*/ 381038 h 657263"/>
            <a:gd name="connsiteX2" fmla="*/ 180975 w 195960"/>
            <a:gd name="connsiteY2" fmla="*/ 47663 h 657263"/>
            <a:gd name="connsiteX3" fmla="*/ 0 w 195960"/>
            <a:gd name="connsiteY3" fmla="*/ 9563 h 657263"/>
            <a:gd name="connsiteX0" fmla="*/ 0 w 198720"/>
            <a:gd name="connsiteY0" fmla="*/ 714413 h 714413"/>
            <a:gd name="connsiteX1" fmla="*/ 171450 w 198720"/>
            <a:gd name="connsiteY1" fmla="*/ 381038 h 714413"/>
            <a:gd name="connsiteX2" fmla="*/ 180975 w 198720"/>
            <a:gd name="connsiteY2" fmla="*/ 47663 h 714413"/>
            <a:gd name="connsiteX3" fmla="*/ 0 w 198720"/>
            <a:gd name="connsiteY3" fmla="*/ 9563 h 714413"/>
            <a:gd name="connsiteX0" fmla="*/ 71933 w 195324"/>
            <a:gd name="connsiteY0" fmla="*/ 683352 h 683352"/>
            <a:gd name="connsiteX1" fmla="*/ 171450 w 195324"/>
            <a:gd name="connsiteY1" fmla="*/ 381038 h 683352"/>
            <a:gd name="connsiteX2" fmla="*/ 180975 w 195324"/>
            <a:gd name="connsiteY2" fmla="*/ 47663 h 683352"/>
            <a:gd name="connsiteX3" fmla="*/ 0 w 195324"/>
            <a:gd name="connsiteY3" fmla="*/ 9563 h 683352"/>
            <a:gd name="connsiteX0" fmla="*/ 71933 w 172089"/>
            <a:gd name="connsiteY0" fmla="*/ 674488 h 674488"/>
            <a:gd name="connsiteX1" fmla="*/ 171450 w 172089"/>
            <a:gd name="connsiteY1" fmla="*/ 372174 h 674488"/>
            <a:gd name="connsiteX2" fmla="*/ 109042 w 172089"/>
            <a:gd name="connsiteY2" fmla="*/ 194107 h 674488"/>
            <a:gd name="connsiteX3" fmla="*/ 0 w 172089"/>
            <a:gd name="connsiteY3" fmla="*/ 699 h 674488"/>
            <a:gd name="connsiteX0" fmla="*/ 111896 w 212157"/>
            <a:gd name="connsiteY0" fmla="*/ 541755 h 541755"/>
            <a:gd name="connsiteX1" fmla="*/ 211413 w 212157"/>
            <a:gd name="connsiteY1" fmla="*/ 239441 h 541755"/>
            <a:gd name="connsiteX2" fmla="*/ 149005 w 212157"/>
            <a:gd name="connsiteY2" fmla="*/ 61374 h 541755"/>
            <a:gd name="connsiteX3" fmla="*/ 0 w 212157"/>
            <a:gd name="connsiteY3" fmla="*/ 2565 h 541755"/>
            <a:gd name="connsiteX0" fmla="*/ 71933 w 172089"/>
            <a:gd name="connsiteY0" fmla="*/ 612721 h 612721"/>
            <a:gd name="connsiteX1" fmla="*/ 171450 w 172089"/>
            <a:gd name="connsiteY1" fmla="*/ 310407 h 612721"/>
            <a:gd name="connsiteX2" fmla="*/ 109042 w 172089"/>
            <a:gd name="connsiteY2" fmla="*/ 132340 h 612721"/>
            <a:gd name="connsiteX3" fmla="*/ 0 w 172089"/>
            <a:gd name="connsiteY3" fmla="*/ 1055 h 612721"/>
            <a:gd name="connsiteX0" fmla="*/ 71933 w 172089"/>
            <a:gd name="connsiteY0" fmla="*/ 611666 h 611666"/>
            <a:gd name="connsiteX1" fmla="*/ 171450 w 172089"/>
            <a:gd name="connsiteY1" fmla="*/ 309352 h 611666"/>
            <a:gd name="connsiteX2" fmla="*/ 109042 w 172089"/>
            <a:gd name="connsiteY2" fmla="*/ 131285 h 611666"/>
            <a:gd name="connsiteX3" fmla="*/ 0 w 172089"/>
            <a:gd name="connsiteY3" fmla="*/ 0 h 611666"/>
            <a:gd name="connsiteX0" fmla="*/ 71933 w 171616"/>
            <a:gd name="connsiteY0" fmla="*/ 611666 h 611666"/>
            <a:gd name="connsiteX1" fmla="*/ 171450 w 171616"/>
            <a:gd name="connsiteY1" fmla="*/ 309352 h 611666"/>
            <a:gd name="connsiteX2" fmla="*/ 93057 w 171616"/>
            <a:gd name="connsiteY2" fmla="*/ 172701 h 611666"/>
            <a:gd name="connsiteX3" fmla="*/ 0 w 171616"/>
            <a:gd name="connsiteY3" fmla="*/ 0 h 611666"/>
            <a:gd name="connsiteX0" fmla="*/ 71933 w 172904"/>
            <a:gd name="connsiteY0" fmla="*/ 611666 h 611666"/>
            <a:gd name="connsiteX1" fmla="*/ 171450 w 172904"/>
            <a:gd name="connsiteY1" fmla="*/ 309352 h 611666"/>
            <a:gd name="connsiteX2" fmla="*/ 0 w 172904"/>
            <a:gd name="connsiteY2" fmla="*/ 0 h 611666"/>
            <a:gd name="connsiteX0" fmla="*/ 279741 w 291225"/>
            <a:gd name="connsiteY0" fmla="*/ 383882 h 383882"/>
            <a:gd name="connsiteX1" fmla="*/ 171450 w 291225"/>
            <a:gd name="connsiteY1" fmla="*/ 309352 h 383882"/>
            <a:gd name="connsiteX2" fmla="*/ 0 w 291225"/>
            <a:gd name="connsiteY2" fmla="*/ 0 h 383882"/>
            <a:gd name="connsiteX0" fmla="*/ 279741 w 291882"/>
            <a:gd name="connsiteY0" fmla="*/ 383882 h 586498"/>
            <a:gd name="connsiteX1" fmla="*/ 179442 w 291882"/>
            <a:gd name="connsiteY1" fmla="*/ 578551 h 586498"/>
            <a:gd name="connsiteX2" fmla="*/ 0 w 291882"/>
            <a:gd name="connsiteY2" fmla="*/ 0 h 586498"/>
            <a:gd name="connsiteX0" fmla="*/ 287734 w 299984"/>
            <a:gd name="connsiteY0" fmla="*/ 17180 h 212422"/>
            <a:gd name="connsiteX1" fmla="*/ 187435 w 299984"/>
            <a:gd name="connsiteY1" fmla="*/ 211849 h 212422"/>
            <a:gd name="connsiteX2" fmla="*/ 0 w 299984"/>
            <a:gd name="connsiteY2" fmla="*/ 68159 h 212422"/>
            <a:gd name="connsiteX0" fmla="*/ 287734 w 299984"/>
            <a:gd name="connsiteY0" fmla="*/ 19608 h 173868"/>
            <a:gd name="connsiteX1" fmla="*/ 187435 w 299984"/>
            <a:gd name="connsiteY1" fmla="*/ 172862 h 173868"/>
            <a:gd name="connsiteX2" fmla="*/ 0 w 299984"/>
            <a:gd name="connsiteY2" fmla="*/ 70587 h 173868"/>
            <a:gd name="connsiteX0" fmla="*/ 167844 w 206214"/>
            <a:gd name="connsiteY0" fmla="*/ 19608 h 173867"/>
            <a:gd name="connsiteX1" fmla="*/ 187435 w 206214"/>
            <a:gd name="connsiteY1" fmla="*/ 172862 h 173867"/>
            <a:gd name="connsiteX2" fmla="*/ 0 w 206214"/>
            <a:gd name="connsiteY2" fmla="*/ 70587 h 173867"/>
            <a:gd name="connsiteX0" fmla="*/ 209206 w 215644"/>
            <a:gd name="connsiteY0" fmla="*/ 364626 h 421656"/>
            <a:gd name="connsiteX1" fmla="*/ 5004 w 215644"/>
            <a:gd name="connsiteY1" fmla="*/ 185 h 421656"/>
            <a:gd name="connsiteX2" fmla="*/ 41362 w 215644"/>
            <a:gd name="connsiteY2" fmla="*/ 415605 h 421656"/>
            <a:gd name="connsiteX0" fmla="*/ 217586 w 223860"/>
            <a:gd name="connsiteY0" fmla="*/ 74324 h 463384"/>
            <a:gd name="connsiteX1" fmla="*/ 5391 w 223860"/>
            <a:gd name="connsiteY1" fmla="*/ 41207 h 463384"/>
            <a:gd name="connsiteX2" fmla="*/ 41749 w 223860"/>
            <a:gd name="connsiteY2" fmla="*/ 456627 h 463384"/>
            <a:gd name="connsiteX0" fmla="*/ 319705 w 326583"/>
            <a:gd name="connsiteY0" fmla="*/ 63016 h 289307"/>
            <a:gd name="connsiteX1" fmla="*/ 107510 w 326583"/>
            <a:gd name="connsiteY1" fmla="*/ 29899 h 289307"/>
            <a:gd name="connsiteX2" fmla="*/ 0 w 326583"/>
            <a:gd name="connsiteY2" fmla="*/ 279657 h 289307"/>
            <a:gd name="connsiteX0" fmla="*/ 347905 w 352497"/>
            <a:gd name="connsiteY0" fmla="*/ 82994 h 308442"/>
            <a:gd name="connsiteX1" fmla="*/ 15820 w 352497"/>
            <a:gd name="connsiteY1" fmla="*/ 18815 h 308442"/>
            <a:gd name="connsiteX2" fmla="*/ 28200 w 352497"/>
            <a:gd name="connsiteY2" fmla="*/ 299635 h 308442"/>
            <a:gd name="connsiteX0" fmla="*/ 319705 w 325777"/>
            <a:gd name="connsiteY0" fmla="*/ 75689 h 301402"/>
            <a:gd name="connsiteX1" fmla="*/ 75539 w 325777"/>
            <a:gd name="connsiteY1" fmla="*/ 21864 h 301402"/>
            <a:gd name="connsiteX2" fmla="*/ 0 w 325777"/>
            <a:gd name="connsiteY2" fmla="*/ 292330 h 301402"/>
            <a:gd name="connsiteX0" fmla="*/ 258958 w 264810"/>
            <a:gd name="connsiteY0" fmla="*/ 77201 h 323186"/>
            <a:gd name="connsiteX1" fmla="*/ 14792 w 264810"/>
            <a:gd name="connsiteY1" fmla="*/ 23376 h 323186"/>
            <a:gd name="connsiteX2" fmla="*/ 3194 w 264810"/>
            <a:gd name="connsiteY2" fmla="*/ 314549 h 323186"/>
            <a:gd name="connsiteX0" fmla="*/ 247422 w 252967"/>
            <a:gd name="connsiteY0" fmla="*/ 78716 h 345013"/>
            <a:gd name="connsiteX1" fmla="*/ 3256 w 252967"/>
            <a:gd name="connsiteY1" fmla="*/ 24891 h 345013"/>
            <a:gd name="connsiteX2" fmla="*/ 87570 w 252967"/>
            <a:gd name="connsiteY2" fmla="*/ 336771 h 345013"/>
            <a:gd name="connsiteX0" fmla="*/ 159852 w 170029"/>
            <a:gd name="connsiteY0" fmla="*/ 43827 h 312065"/>
            <a:gd name="connsiteX1" fmla="*/ 51561 w 170029"/>
            <a:gd name="connsiteY1" fmla="*/ 62479 h 312065"/>
            <a:gd name="connsiteX2" fmla="*/ 0 w 170029"/>
            <a:gd name="connsiteY2" fmla="*/ 301882 h 312065"/>
            <a:gd name="connsiteX0" fmla="*/ 159852 w 170029"/>
            <a:gd name="connsiteY0" fmla="*/ 43827 h 301882"/>
            <a:gd name="connsiteX1" fmla="*/ 51561 w 170029"/>
            <a:gd name="connsiteY1" fmla="*/ 62479 h 301882"/>
            <a:gd name="connsiteX2" fmla="*/ 0 w 170029"/>
            <a:gd name="connsiteY2" fmla="*/ 301882 h 301882"/>
            <a:gd name="connsiteX0" fmla="*/ 207808 w 218474"/>
            <a:gd name="connsiteY0" fmla="*/ 42957 h 280305"/>
            <a:gd name="connsiteX1" fmla="*/ 99517 w 218474"/>
            <a:gd name="connsiteY1" fmla="*/ 61609 h 280305"/>
            <a:gd name="connsiteX2" fmla="*/ 0 w 218474"/>
            <a:gd name="connsiteY2" fmla="*/ 280304 h 280305"/>
            <a:gd name="connsiteX0" fmla="*/ 207808 w 218474"/>
            <a:gd name="connsiteY0" fmla="*/ 34403 h 313166"/>
            <a:gd name="connsiteX1" fmla="*/ 99517 w 218474"/>
            <a:gd name="connsiteY1" fmla="*/ 94471 h 313166"/>
            <a:gd name="connsiteX2" fmla="*/ 0 w 218474"/>
            <a:gd name="connsiteY2" fmla="*/ 313166 h 313166"/>
            <a:gd name="connsiteX0" fmla="*/ 215801 w 226028"/>
            <a:gd name="connsiteY0" fmla="*/ 101624 h 225078"/>
            <a:gd name="connsiteX1" fmla="*/ 99517 w 226028"/>
            <a:gd name="connsiteY1" fmla="*/ 6383 h 225078"/>
            <a:gd name="connsiteX2" fmla="*/ 0 w 226028"/>
            <a:gd name="connsiteY2" fmla="*/ 225078 h 225078"/>
            <a:gd name="connsiteX0" fmla="*/ 231786 w 241235"/>
            <a:gd name="connsiteY0" fmla="*/ 915639 h 915639"/>
            <a:gd name="connsiteX1" fmla="*/ 99517 w 241235"/>
            <a:gd name="connsiteY1" fmla="*/ 33502 h 915639"/>
            <a:gd name="connsiteX2" fmla="*/ 0 w 241235"/>
            <a:gd name="connsiteY2" fmla="*/ 252197 h 915639"/>
            <a:gd name="connsiteX0" fmla="*/ 231786 w 291831"/>
            <a:gd name="connsiteY0" fmla="*/ 716898 h 716898"/>
            <a:gd name="connsiteX1" fmla="*/ 275355 w 291831"/>
            <a:gd name="connsiteY1" fmla="*/ 197148 h 716898"/>
            <a:gd name="connsiteX2" fmla="*/ 0 w 291831"/>
            <a:gd name="connsiteY2" fmla="*/ 53456 h 716898"/>
            <a:gd name="connsiteX0" fmla="*/ 231786 w 291831"/>
            <a:gd name="connsiteY0" fmla="*/ 664415 h 664415"/>
            <a:gd name="connsiteX1" fmla="*/ 275355 w 291831"/>
            <a:gd name="connsiteY1" fmla="*/ 144665 h 664415"/>
            <a:gd name="connsiteX2" fmla="*/ 0 w 291831"/>
            <a:gd name="connsiteY2" fmla="*/ 973 h 664415"/>
            <a:gd name="connsiteX0" fmla="*/ 207808 w 266093"/>
            <a:gd name="connsiteY0" fmla="*/ 597990 h 597990"/>
            <a:gd name="connsiteX1" fmla="*/ 251377 w 266093"/>
            <a:gd name="connsiteY1" fmla="*/ 78240 h 597990"/>
            <a:gd name="connsiteX2" fmla="*/ 0 w 266093"/>
            <a:gd name="connsiteY2" fmla="*/ 7025 h 597990"/>
            <a:gd name="connsiteX0" fmla="*/ 207808 w 307835"/>
            <a:gd name="connsiteY0" fmla="*/ 591647 h 591647"/>
            <a:gd name="connsiteX1" fmla="*/ 299333 w 307835"/>
            <a:gd name="connsiteY1" fmla="*/ 154729 h 591647"/>
            <a:gd name="connsiteX2" fmla="*/ 0 w 307835"/>
            <a:gd name="connsiteY2" fmla="*/ 682 h 591647"/>
            <a:gd name="connsiteX0" fmla="*/ 207808 w 222715"/>
            <a:gd name="connsiteY0" fmla="*/ 591518 h 591518"/>
            <a:gd name="connsiteX1" fmla="*/ 144634 w 222715"/>
            <a:gd name="connsiteY1" fmla="*/ 171626 h 591518"/>
            <a:gd name="connsiteX2" fmla="*/ 0 w 222715"/>
            <a:gd name="connsiteY2" fmla="*/ 553 h 591518"/>
            <a:gd name="connsiteX0" fmla="*/ 207808 w 222715"/>
            <a:gd name="connsiteY0" fmla="*/ 591099 h 591099"/>
            <a:gd name="connsiteX1" fmla="*/ 144634 w 222715"/>
            <a:gd name="connsiteY1" fmla="*/ 171207 h 591099"/>
            <a:gd name="connsiteX2" fmla="*/ 0 w 222715"/>
            <a:gd name="connsiteY2" fmla="*/ 134 h 591099"/>
            <a:gd name="connsiteX0" fmla="*/ 207808 w 208015"/>
            <a:gd name="connsiteY0" fmla="*/ 591099 h 591099"/>
            <a:gd name="connsiteX1" fmla="*/ 144634 w 208015"/>
            <a:gd name="connsiteY1" fmla="*/ 171207 h 591099"/>
            <a:gd name="connsiteX2" fmla="*/ 0 w 208015"/>
            <a:gd name="connsiteY2" fmla="*/ 134 h 591099"/>
            <a:gd name="connsiteX0" fmla="*/ 207808 w 208015"/>
            <a:gd name="connsiteY0" fmla="*/ 590965 h 590965"/>
            <a:gd name="connsiteX1" fmla="*/ 144634 w 208015"/>
            <a:gd name="connsiteY1" fmla="*/ 171073 h 590965"/>
            <a:gd name="connsiteX2" fmla="*/ 0 w 208015"/>
            <a:gd name="connsiteY2" fmla="*/ 0 h 590965"/>
            <a:gd name="connsiteX0" fmla="*/ 207808 w 207808"/>
            <a:gd name="connsiteY0" fmla="*/ 590965 h 590965"/>
            <a:gd name="connsiteX1" fmla="*/ 0 w 207808"/>
            <a:gd name="connsiteY1" fmla="*/ 0 h 590965"/>
            <a:gd name="connsiteX0" fmla="*/ 207808 w 329528"/>
            <a:gd name="connsiteY0" fmla="*/ 590965 h 590965"/>
            <a:gd name="connsiteX1" fmla="*/ 321721 w 329528"/>
            <a:gd name="connsiteY1" fmla="*/ 26980 h 590965"/>
            <a:gd name="connsiteX2" fmla="*/ 0 w 329528"/>
            <a:gd name="connsiteY2" fmla="*/ 0 h 590965"/>
            <a:gd name="connsiteX0" fmla="*/ 207808 w 250347"/>
            <a:gd name="connsiteY0" fmla="*/ 590965 h 590965"/>
            <a:gd name="connsiteX1" fmla="*/ 238517 w 250347"/>
            <a:gd name="connsiteY1" fmla="*/ 178822 h 590965"/>
            <a:gd name="connsiteX2" fmla="*/ 0 w 250347"/>
            <a:gd name="connsiteY2" fmla="*/ 0 h 590965"/>
            <a:gd name="connsiteX0" fmla="*/ 207808 w 270212"/>
            <a:gd name="connsiteY0" fmla="*/ 590965 h 590965"/>
            <a:gd name="connsiteX1" fmla="*/ 238517 w 270212"/>
            <a:gd name="connsiteY1" fmla="*/ 178822 h 590965"/>
            <a:gd name="connsiteX2" fmla="*/ 0 w 270212"/>
            <a:gd name="connsiteY2" fmla="*/ 0 h 590965"/>
            <a:gd name="connsiteX0" fmla="*/ 207808 w 270212"/>
            <a:gd name="connsiteY0" fmla="*/ 590965 h 590965"/>
            <a:gd name="connsiteX1" fmla="*/ 238517 w 270212"/>
            <a:gd name="connsiteY1" fmla="*/ 178822 h 590965"/>
            <a:gd name="connsiteX2" fmla="*/ 0 w 270212"/>
            <a:gd name="connsiteY2" fmla="*/ 0 h 590965"/>
            <a:gd name="connsiteX0" fmla="*/ 207808 w 207808"/>
            <a:gd name="connsiteY0" fmla="*/ 590965 h 590965"/>
            <a:gd name="connsiteX1" fmla="*/ 0 w 207808"/>
            <a:gd name="connsiteY1" fmla="*/ 0 h 590965"/>
            <a:gd name="connsiteX0" fmla="*/ 201425 w 201425"/>
            <a:gd name="connsiteY0" fmla="*/ 232167 h 232167"/>
            <a:gd name="connsiteX1" fmla="*/ 0 w 201425"/>
            <a:gd name="connsiteY1" fmla="*/ 0 h 232167"/>
            <a:gd name="connsiteX0" fmla="*/ 201425 w 201425"/>
            <a:gd name="connsiteY0" fmla="*/ 232167 h 319446"/>
            <a:gd name="connsiteX1" fmla="*/ 96876 w 201425"/>
            <a:gd name="connsiteY1" fmla="*/ 315532 h 319446"/>
            <a:gd name="connsiteX2" fmla="*/ 0 w 201425"/>
            <a:gd name="connsiteY2" fmla="*/ 0 h 319446"/>
            <a:gd name="connsiteX0" fmla="*/ 201425 w 201425"/>
            <a:gd name="connsiteY0" fmla="*/ 232167 h 344485"/>
            <a:gd name="connsiteX1" fmla="*/ 96876 w 201425"/>
            <a:gd name="connsiteY1" fmla="*/ 315532 h 344485"/>
            <a:gd name="connsiteX2" fmla="*/ 0 w 201425"/>
            <a:gd name="connsiteY2" fmla="*/ 0 h 344485"/>
            <a:gd name="connsiteX0" fmla="*/ 201425 w 201425"/>
            <a:gd name="connsiteY0" fmla="*/ 232167 h 320285"/>
            <a:gd name="connsiteX1" fmla="*/ 96876 w 201425"/>
            <a:gd name="connsiteY1" fmla="*/ 315532 h 320285"/>
            <a:gd name="connsiteX2" fmla="*/ 0 w 201425"/>
            <a:gd name="connsiteY2" fmla="*/ 0 h 320285"/>
            <a:gd name="connsiteX0" fmla="*/ 201425 w 201425"/>
            <a:gd name="connsiteY0" fmla="*/ 232167 h 334298"/>
            <a:gd name="connsiteX1" fmla="*/ 96876 w 201425"/>
            <a:gd name="connsiteY1" fmla="*/ 315532 h 334298"/>
            <a:gd name="connsiteX2" fmla="*/ 0 w 201425"/>
            <a:gd name="connsiteY2" fmla="*/ 0 h 334298"/>
            <a:gd name="connsiteX0" fmla="*/ 201425 w 201425"/>
            <a:gd name="connsiteY0" fmla="*/ 232167 h 232167"/>
            <a:gd name="connsiteX1" fmla="*/ 0 w 201425"/>
            <a:gd name="connsiteY1" fmla="*/ 0 h 232167"/>
            <a:gd name="connsiteX0" fmla="*/ 201425 w 201425"/>
            <a:gd name="connsiteY0" fmla="*/ 232167 h 232167"/>
            <a:gd name="connsiteX1" fmla="*/ 74723 w 201425"/>
            <a:gd name="connsiteY1" fmla="*/ 169890 h 232167"/>
            <a:gd name="connsiteX2" fmla="*/ 0 w 201425"/>
            <a:gd name="connsiteY2" fmla="*/ 0 h 232167"/>
            <a:gd name="connsiteX0" fmla="*/ 201425 w 201425"/>
            <a:gd name="connsiteY0" fmla="*/ 232167 h 232167"/>
            <a:gd name="connsiteX1" fmla="*/ 74723 w 201425"/>
            <a:gd name="connsiteY1" fmla="*/ 169890 h 232167"/>
            <a:gd name="connsiteX2" fmla="*/ 0 w 201425"/>
            <a:gd name="connsiteY2" fmla="*/ 0 h 232167"/>
            <a:gd name="connsiteX0" fmla="*/ 201425 w 201425"/>
            <a:gd name="connsiteY0" fmla="*/ 232167 h 232167"/>
            <a:gd name="connsiteX1" fmla="*/ 74723 w 201425"/>
            <a:gd name="connsiteY1" fmla="*/ 169890 h 232167"/>
            <a:gd name="connsiteX2" fmla="*/ 0 w 201425"/>
            <a:gd name="connsiteY2" fmla="*/ 0 h 232167"/>
            <a:gd name="connsiteX0" fmla="*/ 201425 w 201425"/>
            <a:gd name="connsiteY0" fmla="*/ 232167 h 241685"/>
            <a:gd name="connsiteX1" fmla="*/ 74723 w 201425"/>
            <a:gd name="connsiteY1" fmla="*/ 169890 h 241685"/>
            <a:gd name="connsiteX2" fmla="*/ 0 w 201425"/>
            <a:gd name="connsiteY2" fmla="*/ 0 h 241685"/>
            <a:gd name="connsiteX0" fmla="*/ 201425 w 201425"/>
            <a:gd name="connsiteY0" fmla="*/ 232167 h 232167"/>
            <a:gd name="connsiteX1" fmla="*/ 74723 w 201425"/>
            <a:gd name="connsiteY1" fmla="*/ 169890 h 232167"/>
            <a:gd name="connsiteX2" fmla="*/ 0 w 201425"/>
            <a:gd name="connsiteY2" fmla="*/ 0 h 232167"/>
          </a:gdLst>
          <a:ahLst/>
          <a:cxnLst>
            <a:cxn ang="0">
              <a:pos x="connsiteX0" y="connsiteY0"/>
            </a:cxn>
            <a:cxn ang="0">
              <a:pos x="connsiteX1" y="connsiteY1"/>
            </a:cxn>
            <a:cxn ang="0">
              <a:pos x="connsiteX2" y="connsiteY2"/>
            </a:cxn>
          </a:cxnLst>
          <a:rect l="l" t="t" r="r" b="b"/>
          <a:pathLst>
            <a:path w="201425" h="232167">
              <a:moveTo>
                <a:pt x="201425" y="232167"/>
              </a:moveTo>
              <a:cubicBezTo>
                <a:pt x="128869" y="220541"/>
                <a:pt x="99631" y="226520"/>
                <a:pt x="74723" y="169890"/>
              </a:cubicBezTo>
              <a:lnTo>
                <a:pt x="0" y="0"/>
              </a:lnTo>
            </a:path>
          </a:pathLst>
        </a:custGeom>
        <a:noFill/>
        <a:ln>
          <a:headEnd type="none"/>
          <a:tailEnd type="arrow" w="sm"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0</xdr:colOff>
      <xdr:row>43</xdr:row>
      <xdr:rowOff>0</xdr:rowOff>
    </xdr:from>
    <xdr:to>
      <xdr:col>31</xdr:col>
      <xdr:colOff>0</xdr:colOff>
      <xdr:row>45</xdr:row>
      <xdr:rowOff>52920</xdr:rowOff>
    </xdr:to>
    <xdr:sp macro="" textlink="">
      <xdr:nvSpPr>
        <xdr:cNvPr id="14" name="Right Brace 13">
          <a:extLst>
            <a:ext uri="{FF2B5EF4-FFF2-40B4-BE49-F238E27FC236}">
              <a16:creationId xmlns:a16="http://schemas.microsoft.com/office/drawing/2014/main" id="{1601379A-CAC7-4530-AADF-4679F5CE1D43}"/>
            </a:ext>
          </a:extLst>
        </xdr:cNvPr>
        <xdr:cNvSpPr/>
      </xdr:nvSpPr>
      <xdr:spPr>
        <a:xfrm rot="5400000">
          <a:off x="8688915" y="2588685"/>
          <a:ext cx="433920" cy="11449050"/>
        </a:xfrm>
        <a:prstGeom prst="rightBrace">
          <a:avLst>
            <a:gd name="adj1" fmla="val 22287"/>
            <a:gd name="adj2" fmla="val 69415"/>
          </a:avLst>
        </a:prstGeom>
        <a:ln w="25400">
          <a:solidFill>
            <a:schemeClr val="bg2">
              <a:lumMod val="50000"/>
            </a:schemeClr>
          </a:solidFill>
          <a:extLst>
            <a:ext uri="{C807C97D-BFC1-408E-A445-0C87EB9F89A2}">
              <ask:lineSketchStyleProps xmlns:ask="http://schemas.microsoft.com/office/drawing/2018/sketchyshapes" sd="3705000160">
                <a:custGeom>
                  <a:avLst/>
                  <a:gdLst>
                    <a:gd name="connsiteX0" fmla="*/ 0 w 481853"/>
                    <a:gd name="connsiteY0" fmla="*/ 0 h 3608295"/>
                    <a:gd name="connsiteX1" fmla="*/ 240927 w 481853"/>
                    <a:gd name="connsiteY1" fmla="*/ 40153 h 3608295"/>
                    <a:gd name="connsiteX2" fmla="*/ 240927 w 481853"/>
                    <a:gd name="connsiteY2" fmla="*/ 597383 h 3608295"/>
                    <a:gd name="connsiteX3" fmla="*/ 240927 w 481853"/>
                    <a:gd name="connsiteY3" fmla="*/ 1177358 h 3608295"/>
                    <a:gd name="connsiteX4" fmla="*/ 481854 w 481853"/>
                    <a:gd name="connsiteY4" fmla="*/ 1217511 h 3608295"/>
                    <a:gd name="connsiteX5" fmla="*/ 240927 w 481853"/>
                    <a:gd name="connsiteY5" fmla="*/ 1257664 h 3608295"/>
                    <a:gd name="connsiteX6" fmla="*/ 240927 w 481853"/>
                    <a:gd name="connsiteY6" fmla="*/ 1765969 h 3608295"/>
                    <a:gd name="connsiteX7" fmla="*/ 240927 w 481853"/>
                    <a:gd name="connsiteY7" fmla="*/ 2343589 h 3608295"/>
                    <a:gd name="connsiteX8" fmla="*/ 240927 w 481853"/>
                    <a:gd name="connsiteY8" fmla="*/ 2898103 h 3608295"/>
                    <a:gd name="connsiteX9" fmla="*/ 240927 w 481853"/>
                    <a:gd name="connsiteY9" fmla="*/ 3568142 h 3608295"/>
                    <a:gd name="connsiteX10" fmla="*/ 0 w 481853"/>
                    <a:gd name="connsiteY10" fmla="*/ 3608295 h 3608295"/>
                    <a:gd name="connsiteX11" fmla="*/ 0 w 481853"/>
                    <a:gd name="connsiteY11" fmla="*/ 3020658 h 3608295"/>
                    <a:gd name="connsiteX12" fmla="*/ 0 w 481853"/>
                    <a:gd name="connsiteY12" fmla="*/ 2541271 h 3608295"/>
                    <a:gd name="connsiteX13" fmla="*/ 0 w 481853"/>
                    <a:gd name="connsiteY13" fmla="*/ 2134049 h 3608295"/>
                    <a:gd name="connsiteX14" fmla="*/ 0 w 481853"/>
                    <a:gd name="connsiteY14" fmla="*/ 1546412 h 3608295"/>
                    <a:gd name="connsiteX15" fmla="*/ 0 w 481853"/>
                    <a:gd name="connsiteY15" fmla="*/ 958776 h 3608295"/>
                    <a:gd name="connsiteX16" fmla="*/ 0 w 481853"/>
                    <a:gd name="connsiteY16" fmla="*/ 515471 h 3608295"/>
                    <a:gd name="connsiteX17" fmla="*/ 0 w 481853"/>
                    <a:gd name="connsiteY17" fmla="*/ 0 h 3608295"/>
                    <a:gd name="connsiteX0" fmla="*/ 0 w 481853"/>
                    <a:gd name="connsiteY0" fmla="*/ 0 h 3608295"/>
                    <a:gd name="connsiteX1" fmla="*/ 240927 w 481853"/>
                    <a:gd name="connsiteY1" fmla="*/ 40153 h 3608295"/>
                    <a:gd name="connsiteX2" fmla="*/ 240927 w 481853"/>
                    <a:gd name="connsiteY2" fmla="*/ 586011 h 3608295"/>
                    <a:gd name="connsiteX3" fmla="*/ 240927 w 481853"/>
                    <a:gd name="connsiteY3" fmla="*/ 1177358 h 3608295"/>
                    <a:gd name="connsiteX4" fmla="*/ 481854 w 481853"/>
                    <a:gd name="connsiteY4" fmla="*/ 1217511 h 3608295"/>
                    <a:gd name="connsiteX5" fmla="*/ 240927 w 481853"/>
                    <a:gd name="connsiteY5" fmla="*/ 1257664 h 3608295"/>
                    <a:gd name="connsiteX6" fmla="*/ 240927 w 481853"/>
                    <a:gd name="connsiteY6" fmla="*/ 1765969 h 3608295"/>
                    <a:gd name="connsiteX7" fmla="*/ 240927 w 481853"/>
                    <a:gd name="connsiteY7" fmla="*/ 2366693 h 3608295"/>
                    <a:gd name="connsiteX8" fmla="*/ 240927 w 481853"/>
                    <a:gd name="connsiteY8" fmla="*/ 2874999 h 3608295"/>
                    <a:gd name="connsiteX9" fmla="*/ 240927 w 481853"/>
                    <a:gd name="connsiteY9" fmla="*/ 3568142 h 3608295"/>
                    <a:gd name="connsiteX10" fmla="*/ 0 w 481853"/>
                    <a:gd name="connsiteY10" fmla="*/ 3608295 h 36082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81853" h="3608295" stroke="0" extrusionOk="0">
                      <a:moveTo>
                        <a:pt x="0" y="0"/>
                      </a:moveTo>
                      <a:cubicBezTo>
                        <a:pt x="131089" y="248"/>
                        <a:pt x="239457" y="18662"/>
                        <a:pt x="240927" y="40153"/>
                      </a:cubicBezTo>
                      <a:cubicBezTo>
                        <a:pt x="254854" y="171930"/>
                        <a:pt x="190243" y="351734"/>
                        <a:pt x="240927" y="597383"/>
                      </a:cubicBezTo>
                      <a:cubicBezTo>
                        <a:pt x="291611" y="843032"/>
                        <a:pt x="201308" y="1029605"/>
                        <a:pt x="240927" y="1177358"/>
                      </a:cubicBezTo>
                      <a:cubicBezTo>
                        <a:pt x="238459" y="1191425"/>
                        <a:pt x="367072" y="1234522"/>
                        <a:pt x="481854" y="1217511"/>
                      </a:cubicBezTo>
                      <a:cubicBezTo>
                        <a:pt x="346044" y="1216053"/>
                        <a:pt x="240849" y="1234343"/>
                        <a:pt x="240927" y="1257664"/>
                      </a:cubicBezTo>
                      <a:cubicBezTo>
                        <a:pt x="295085" y="1423339"/>
                        <a:pt x="209245" y="1600641"/>
                        <a:pt x="240927" y="1765969"/>
                      </a:cubicBezTo>
                      <a:cubicBezTo>
                        <a:pt x="272609" y="1931297"/>
                        <a:pt x="208957" y="2067742"/>
                        <a:pt x="240927" y="2343589"/>
                      </a:cubicBezTo>
                      <a:cubicBezTo>
                        <a:pt x="272897" y="2619436"/>
                        <a:pt x="184052" y="2751313"/>
                        <a:pt x="240927" y="2898103"/>
                      </a:cubicBezTo>
                      <a:cubicBezTo>
                        <a:pt x="297802" y="3044893"/>
                        <a:pt x="181557" y="3385199"/>
                        <a:pt x="240927" y="3568142"/>
                      </a:cubicBezTo>
                      <a:cubicBezTo>
                        <a:pt x="267697" y="3598815"/>
                        <a:pt x="121091" y="3588264"/>
                        <a:pt x="0" y="3608295"/>
                      </a:cubicBezTo>
                      <a:cubicBezTo>
                        <a:pt x="-66658" y="3370436"/>
                        <a:pt x="60667" y="3223090"/>
                        <a:pt x="0" y="3020658"/>
                      </a:cubicBezTo>
                      <a:cubicBezTo>
                        <a:pt x="-60667" y="2818226"/>
                        <a:pt x="36565" y="2665929"/>
                        <a:pt x="0" y="2541271"/>
                      </a:cubicBezTo>
                      <a:cubicBezTo>
                        <a:pt x="-36565" y="2416613"/>
                        <a:pt x="31079" y="2314505"/>
                        <a:pt x="0" y="2134049"/>
                      </a:cubicBezTo>
                      <a:cubicBezTo>
                        <a:pt x="-31079" y="1953593"/>
                        <a:pt x="36623" y="1828673"/>
                        <a:pt x="0" y="1546412"/>
                      </a:cubicBezTo>
                      <a:cubicBezTo>
                        <a:pt x="-36623" y="1264151"/>
                        <a:pt x="41174" y="1178388"/>
                        <a:pt x="0" y="958776"/>
                      </a:cubicBezTo>
                      <a:cubicBezTo>
                        <a:pt x="-41174" y="739164"/>
                        <a:pt x="6736" y="673264"/>
                        <a:pt x="0" y="515471"/>
                      </a:cubicBezTo>
                      <a:cubicBezTo>
                        <a:pt x="-6736" y="357678"/>
                        <a:pt x="5744" y="141085"/>
                        <a:pt x="0" y="0"/>
                      </a:cubicBezTo>
                      <a:close/>
                    </a:path>
                    <a:path w="481853" h="3608295" fill="none" extrusionOk="0">
                      <a:moveTo>
                        <a:pt x="0" y="0"/>
                      </a:moveTo>
                      <a:cubicBezTo>
                        <a:pt x="138771" y="-2264"/>
                        <a:pt x="237779" y="21295"/>
                        <a:pt x="240927" y="40153"/>
                      </a:cubicBezTo>
                      <a:cubicBezTo>
                        <a:pt x="276736" y="259420"/>
                        <a:pt x="227420" y="424180"/>
                        <a:pt x="240927" y="586011"/>
                      </a:cubicBezTo>
                      <a:cubicBezTo>
                        <a:pt x="254434" y="747842"/>
                        <a:pt x="215291" y="895665"/>
                        <a:pt x="240927" y="1177358"/>
                      </a:cubicBezTo>
                      <a:cubicBezTo>
                        <a:pt x="243340" y="1204760"/>
                        <a:pt x="324180" y="1208813"/>
                        <a:pt x="481854" y="1217511"/>
                      </a:cubicBezTo>
                      <a:cubicBezTo>
                        <a:pt x="350871" y="1215728"/>
                        <a:pt x="245947" y="1235348"/>
                        <a:pt x="240927" y="1257664"/>
                      </a:cubicBezTo>
                      <a:cubicBezTo>
                        <a:pt x="281030" y="1388607"/>
                        <a:pt x="207643" y="1651195"/>
                        <a:pt x="240927" y="1765969"/>
                      </a:cubicBezTo>
                      <a:cubicBezTo>
                        <a:pt x="274211" y="1880744"/>
                        <a:pt x="168889" y="2155879"/>
                        <a:pt x="240927" y="2366693"/>
                      </a:cubicBezTo>
                      <a:cubicBezTo>
                        <a:pt x="312965" y="2577507"/>
                        <a:pt x="231267" y="2672134"/>
                        <a:pt x="240927" y="2874999"/>
                      </a:cubicBezTo>
                      <a:cubicBezTo>
                        <a:pt x="250587" y="3077864"/>
                        <a:pt x="224884" y="3340504"/>
                        <a:pt x="240927" y="3568142"/>
                      </a:cubicBezTo>
                      <a:cubicBezTo>
                        <a:pt x="250296" y="3617729"/>
                        <a:pt x="153818" y="3604941"/>
                        <a:pt x="0" y="3608295"/>
                      </a:cubicBezTo>
                    </a:path>
                  </a:pathLst>
                </a:custGeom>
                <ask:type>
                  <ask:lineSketchNone/>
                </ask:type>
              </ask:lineSketchStyleProps>
            </a:ext>
          </a:extLs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26</xdr:col>
      <xdr:colOff>9525</xdr:colOff>
      <xdr:row>4</xdr:row>
      <xdr:rowOff>161924</xdr:rowOff>
    </xdr:from>
    <xdr:to>
      <xdr:col>28</xdr:col>
      <xdr:colOff>533400</xdr:colOff>
      <xdr:row>9</xdr:row>
      <xdr:rowOff>76200</xdr:rowOff>
    </xdr:to>
    <xdr:sp macro="" textlink="">
      <xdr:nvSpPr>
        <xdr:cNvPr id="15" name="Freeform: Shape 14">
          <a:extLst>
            <a:ext uri="{FF2B5EF4-FFF2-40B4-BE49-F238E27FC236}">
              <a16:creationId xmlns:a16="http://schemas.microsoft.com/office/drawing/2014/main" id="{16830D2F-1FEE-471D-BC90-F0685D7A42CB}"/>
            </a:ext>
          </a:extLst>
        </xdr:cNvPr>
        <xdr:cNvSpPr/>
      </xdr:nvSpPr>
      <xdr:spPr>
        <a:xfrm flipV="1">
          <a:off x="11458575" y="781049"/>
          <a:ext cx="809625" cy="866776"/>
        </a:xfrm>
        <a:custGeom>
          <a:avLst/>
          <a:gdLst>
            <a:gd name="connsiteX0" fmla="*/ 57150 w 195960"/>
            <a:gd name="connsiteY0" fmla="*/ 657263 h 657263"/>
            <a:gd name="connsiteX1" fmla="*/ 171450 w 195960"/>
            <a:gd name="connsiteY1" fmla="*/ 381038 h 657263"/>
            <a:gd name="connsiteX2" fmla="*/ 180975 w 195960"/>
            <a:gd name="connsiteY2" fmla="*/ 47663 h 657263"/>
            <a:gd name="connsiteX3" fmla="*/ 0 w 195960"/>
            <a:gd name="connsiteY3" fmla="*/ 9563 h 657263"/>
            <a:gd name="connsiteX0" fmla="*/ 0 w 198720"/>
            <a:gd name="connsiteY0" fmla="*/ 714413 h 714413"/>
            <a:gd name="connsiteX1" fmla="*/ 171450 w 198720"/>
            <a:gd name="connsiteY1" fmla="*/ 381038 h 714413"/>
            <a:gd name="connsiteX2" fmla="*/ 180975 w 198720"/>
            <a:gd name="connsiteY2" fmla="*/ 47663 h 714413"/>
            <a:gd name="connsiteX3" fmla="*/ 0 w 198720"/>
            <a:gd name="connsiteY3" fmla="*/ 9563 h 714413"/>
            <a:gd name="connsiteX0" fmla="*/ 71933 w 195324"/>
            <a:gd name="connsiteY0" fmla="*/ 683352 h 683352"/>
            <a:gd name="connsiteX1" fmla="*/ 171450 w 195324"/>
            <a:gd name="connsiteY1" fmla="*/ 381038 h 683352"/>
            <a:gd name="connsiteX2" fmla="*/ 180975 w 195324"/>
            <a:gd name="connsiteY2" fmla="*/ 47663 h 683352"/>
            <a:gd name="connsiteX3" fmla="*/ 0 w 195324"/>
            <a:gd name="connsiteY3" fmla="*/ 9563 h 683352"/>
            <a:gd name="connsiteX0" fmla="*/ 71933 w 172089"/>
            <a:gd name="connsiteY0" fmla="*/ 674488 h 674488"/>
            <a:gd name="connsiteX1" fmla="*/ 171450 w 172089"/>
            <a:gd name="connsiteY1" fmla="*/ 372174 h 674488"/>
            <a:gd name="connsiteX2" fmla="*/ 109042 w 172089"/>
            <a:gd name="connsiteY2" fmla="*/ 194107 h 674488"/>
            <a:gd name="connsiteX3" fmla="*/ 0 w 172089"/>
            <a:gd name="connsiteY3" fmla="*/ 699 h 674488"/>
            <a:gd name="connsiteX0" fmla="*/ 111896 w 212157"/>
            <a:gd name="connsiteY0" fmla="*/ 541755 h 541755"/>
            <a:gd name="connsiteX1" fmla="*/ 211413 w 212157"/>
            <a:gd name="connsiteY1" fmla="*/ 239441 h 541755"/>
            <a:gd name="connsiteX2" fmla="*/ 149005 w 212157"/>
            <a:gd name="connsiteY2" fmla="*/ 61374 h 541755"/>
            <a:gd name="connsiteX3" fmla="*/ 0 w 212157"/>
            <a:gd name="connsiteY3" fmla="*/ 2565 h 541755"/>
            <a:gd name="connsiteX0" fmla="*/ 71933 w 172089"/>
            <a:gd name="connsiteY0" fmla="*/ 612721 h 612721"/>
            <a:gd name="connsiteX1" fmla="*/ 171450 w 172089"/>
            <a:gd name="connsiteY1" fmla="*/ 310407 h 612721"/>
            <a:gd name="connsiteX2" fmla="*/ 109042 w 172089"/>
            <a:gd name="connsiteY2" fmla="*/ 132340 h 612721"/>
            <a:gd name="connsiteX3" fmla="*/ 0 w 172089"/>
            <a:gd name="connsiteY3" fmla="*/ 1055 h 612721"/>
            <a:gd name="connsiteX0" fmla="*/ 71933 w 172089"/>
            <a:gd name="connsiteY0" fmla="*/ 611666 h 611666"/>
            <a:gd name="connsiteX1" fmla="*/ 171450 w 172089"/>
            <a:gd name="connsiteY1" fmla="*/ 309352 h 611666"/>
            <a:gd name="connsiteX2" fmla="*/ 109042 w 172089"/>
            <a:gd name="connsiteY2" fmla="*/ 131285 h 611666"/>
            <a:gd name="connsiteX3" fmla="*/ 0 w 172089"/>
            <a:gd name="connsiteY3" fmla="*/ 0 h 611666"/>
            <a:gd name="connsiteX0" fmla="*/ 71933 w 171616"/>
            <a:gd name="connsiteY0" fmla="*/ 611666 h 611666"/>
            <a:gd name="connsiteX1" fmla="*/ 171450 w 171616"/>
            <a:gd name="connsiteY1" fmla="*/ 309352 h 611666"/>
            <a:gd name="connsiteX2" fmla="*/ 93057 w 171616"/>
            <a:gd name="connsiteY2" fmla="*/ 172701 h 611666"/>
            <a:gd name="connsiteX3" fmla="*/ 0 w 171616"/>
            <a:gd name="connsiteY3" fmla="*/ 0 h 611666"/>
            <a:gd name="connsiteX0" fmla="*/ 71933 w 172904"/>
            <a:gd name="connsiteY0" fmla="*/ 611666 h 611666"/>
            <a:gd name="connsiteX1" fmla="*/ 171450 w 172904"/>
            <a:gd name="connsiteY1" fmla="*/ 309352 h 611666"/>
            <a:gd name="connsiteX2" fmla="*/ 0 w 172904"/>
            <a:gd name="connsiteY2" fmla="*/ 0 h 611666"/>
            <a:gd name="connsiteX0" fmla="*/ 279741 w 291225"/>
            <a:gd name="connsiteY0" fmla="*/ 383882 h 383882"/>
            <a:gd name="connsiteX1" fmla="*/ 171450 w 291225"/>
            <a:gd name="connsiteY1" fmla="*/ 309352 h 383882"/>
            <a:gd name="connsiteX2" fmla="*/ 0 w 291225"/>
            <a:gd name="connsiteY2" fmla="*/ 0 h 383882"/>
            <a:gd name="connsiteX0" fmla="*/ 279741 w 291882"/>
            <a:gd name="connsiteY0" fmla="*/ 383882 h 586498"/>
            <a:gd name="connsiteX1" fmla="*/ 179442 w 291882"/>
            <a:gd name="connsiteY1" fmla="*/ 578551 h 586498"/>
            <a:gd name="connsiteX2" fmla="*/ 0 w 291882"/>
            <a:gd name="connsiteY2" fmla="*/ 0 h 586498"/>
            <a:gd name="connsiteX0" fmla="*/ 287734 w 299984"/>
            <a:gd name="connsiteY0" fmla="*/ 17180 h 212422"/>
            <a:gd name="connsiteX1" fmla="*/ 187435 w 299984"/>
            <a:gd name="connsiteY1" fmla="*/ 211849 h 212422"/>
            <a:gd name="connsiteX2" fmla="*/ 0 w 299984"/>
            <a:gd name="connsiteY2" fmla="*/ 68159 h 212422"/>
            <a:gd name="connsiteX0" fmla="*/ 287734 w 299984"/>
            <a:gd name="connsiteY0" fmla="*/ 19608 h 173868"/>
            <a:gd name="connsiteX1" fmla="*/ 187435 w 299984"/>
            <a:gd name="connsiteY1" fmla="*/ 172862 h 173868"/>
            <a:gd name="connsiteX2" fmla="*/ 0 w 299984"/>
            <a:gd name="connsiteY2" fmla="*/ 70587 h 173868"/>
            <a:gd name="connsiteX0" fmla="*/ 167844 w 206214"/>
            <a:gd name="connsiteY0" fmla="*/ 19608 h 173867"/>
            <a:gd name="connsiteX1" fmla="*/ 187435 w 206214"/>
            <a:gd name="connsiteY1" fmla="*/ 172862 h 173867"/>
            <a:gd name="connsiteX2" fmla="*/ 0 w 206214"/>
            <a:gd name="connsiteY2" fmla="*/ 70587 h 173867"/>
            <a:gd name="connsiteX0" fmla="*/ 209206 w 215644"/>
            <a:gd name="connsiteY0" fmla="*/ 364626 h 421656"/>
            <a:gd name="connsiteX1" fmla="*/ 5004 w 215644"/>
            <a:gd name="connsiteY1" fmla="*/ 185 h 421656"/>
            <a:gd name="connsiteX2" fmla="*/ 41362 w 215644"/>
            <a:gd name="connsiteY2" fmla="*/ 415605 h 421656"/>
            <a:gd name="connsiteX0" fmla="*/ 217586 w 223860"/>
            <a:gd name="connsiteY0" fmla="*/ 74324 h 463384"/>
            <a:gd name="connsiteX1" fmla="*/ 5391 w 223860"/>
            <a:gd name="connsiteY1" fmla="*/ 41207 h 463384"/>
            <a:gd name="connsiteX2" fmla="*/ 41749 w 223860"/>
            <a:gd name="connsiteY2" fmla="*/ 456627 h 463384"/>
            <a:gd name="connsiteX0" fmla="*/ 319705 w 326583"/>
            <a:gd name="connsiteY0" fmla="*/ 63016 h 289307"/>
            <a:gd name="connsiteX1" fmla="*/ 107510 w 326583"/>
            <a:gd name="connsiteY1" fmla="*/ 29899 h 289307"/>
            <a:gd name="connsiteX2" fmla="*/ 0 w 326583"/>
            <a:gd name="connsiteY2" fmla="*/ 279657 h 289307"/>
            <a:gd name="connsiteX0" fmla="*/ 347905 w 352497"/>
            <a:gd name="connsiteY0" fmla="*/ 82994 h 308442"/>
            <a:gd name="connsiteX1" fmla="*/ 15820 w 352497"/>
            <a:gd name="connsiteY1" fmla="*/ 18815 h 308442"/>
            <a:gd name="connsiteX2" fmla="*/ 28200 w 352497"/>
            <a:gd name="connsiteY2" fmla="*/ 299635 h 308442"/>
            <a:gd name="connsiteX0" fmla="*/ 319705 w 325777"/>
            <a:gd name="connsiteY0" fmla="*/ 75689 h 301402"/>
            <a:gd name="connsiteX1" fmla="*/ 75539 w 325777"/>
            <a:gd name="connsiteY1" fmla="*/ 21864 h 301402"/>
            <a:gd name="connsiteX2" fmla="*/ 0 w 325777"/>
            <a:gd name="connsiteY2" fmla="*/ 292330 h 301402"/>
            <a:gd name="connsiteX0" fmla="*/ 258958 w 264810"/>
            <a:gd name="connsiteY0" fmla="*/ 77201 h 323186"/>
            <a:gd name="connsiteX1" fmla="*/ 14792 w 264810"/>
            <a:gd name="connsiteY1" fmla="*/ 23376 h 323186"/>
            <a:gd name="connsiteX2" fmla="*/ 3194 w 264810"/>
            <a:gd name="connsiteY2" fmla="*/ 314549 h 323186"/>
            <a:gd name="connsiteX0" fmla="*/ 247422 w 252967"/>
            <a:gd name="connsiteY0" fmla="*/ 78716 h 345013"/>
            <a:gd name="connsiteX1" fmla="*/ 3256 w 252967"/>
            <a:gd name="connsiteY1" fmla="*/ 24891 h 345013"/>
            <a:gd name="connsiteX2" fmla="*/ 87570 w 252967"/>
            <a:gd name="connsiteY2" fmla="*/ 336771 h 345013"/>
            <a:gd name="connsiteX0" fmla="*/ 159852 w 170029"/>
            <a:gd name="connsiteY0" fmla="*/ 43827 h 312065"/>
            <a:gd name="connsiteX1" fmla="*/ 51561 w 170029"/>
            <a:gd name="connsiteY1" fmla="*/ 62479 h 312065"/>
            <a:gd name="connsiteX2" fmla="*/ 0 w 170029"/>
            <a:gd name="connsiteY2" fmla="*/ 301882 h 312065"/>
            <a:gd name="connsiteX0" fmla="*/ 159852 w 170029"/>
            <a:gd name="connsiteY0" fmla="*/ 43827 h 301882"/>
            <a:gd name="connsiteX1" fmla="*/ 51561 w 170029"/>
            <a:gd name="connsiteY1" fmla="*/ 62479 h 301882"/>
            <a:gd name="connsiteX2" fmla="*/ 0 w 170029"/>
            <a:gd name="connsiteY2" fmla="*/ 301882 h 301882"/>
            <a:gd name="connsiteX0" fmla="*/ 207808 w 218474"/>
            <a:gd name="connsiteY0" fmla="*/ 42957 h 280305"/>
            <a:gd name="connsiteX1" fmla="*/ 99517 w 218474"/>
            <a:gd name="connsiteY1" fmla="*/ 61609 h 280305"/>
            <a:gd name="connsiteX2" fmla="*/ 0 w 218474"/>
            <a:gd name="connsiteY2" fmla="*/ 280304 h 280305"/>
            <a:gd name="connsiteX0" fmla="*/ 207808 w 218474"/>
            <a:gd name="connsiteY0" fmla="*/ 34403 h 313166"/>
            <a:gd name="connsiteX1" fmla="*/ 99517 w 218474"/>
            <a:gd name="connsiteY1" fmla="*/ 94471 h 313166"/>
            <a:gd name="connsiteX2" fmla="*/ 0 w 218474"/>
            <a:gd name="connsiteY2" fmla="*/ 313166 h 313166"/>
            <a:gd name="connsiteX0" fmla="*/ 215801 w 226028"/>
            <a:gd name="connsiteY0" fmla="*/ 101624 h 225078"/>
            <a:gd name="connsiteX1" fmla="*/ 99517 w 226028"/>
            <a:gd name="connsiteY1" fmla="*/ 6383 h 225078"/>
            <a:gd name="connsiteX2" fmla="*/ 0 w 226028"/>
            <a:gd name="connsiteY2" fmla="*/ 225078 h 225078"/>
            <a:gd name="connsiteX0" fmla="*/ 231786 w 241235"/>
            <a:gd name="connsiteY0" fmla="*/ 915639 h 915639"/>
            <a:gd name="connsiteX1" fmla="*/ 99517 w 241235"/>
            <a:gd name="connsiteY1" fmla="*/ 33502 h 915639"/>
            <a:gd name="connsiteX2" fmla="*/ 0 w 241235"/>
            <a:gd name="connsiteY2" fmla="*/ 252197 h 915639"/>
            <a:gd name="connsiteX0" fmla="*/ 231786 w 291831"/>
            <a:gd name="connsiteY0" fmla="*/ 716898 h 716898"/>
            <a:gd name="connsiteX1" fmla="*/ 275355 w 291831"/>
            <a:gd name="connsiteY1" fmla="*/ 197148 h 716898"/>
            <a:gd name="connsiteX2" fmla="*/ 0 w 291831"/>
            <a:gd name="connsiteY2" fmla="*/ 53456 h 716898"/>
            <a:gd name="connsiteX0" fmla="*/ 231786 w 291831"/>
            <a:gd name="connsiteY0" fmla="*/ 664415 h 664415"/>
            <a:gd name="connsiteX1" fmla="*/ 275355 w 291831"/>
            <a:gd name="connsiteY1" fmla="*/ 144665 h 664415"/>
            <a:gd name="connsiteX2" fmla="*/ 0 w 291831"/>
            <a:gd name="connsiteY2" fmla="*/ 973 h 664415"/>
            <a:gd name="connsiteX0" fmla="*/ 207808 w 266093"/>
            <a:gd name="connsiteY0" fmla="*/ 597990 h 597990"/>
            <a:gd name="connsiteX1" fmla="*/ 251377 w 266093"/>
            <a:gd name="connsiteY1" fmla="*/ 78240 h 597990"/>
            <a:gd name="connsiteX2" fmla="*/ 0 w 266093"/>
            <a:gd name="connsiteY2" fmla="*/ 7025 h 597990"/>
            <a:gd name="connsiteX0" fmla="*/ 207808 w 307835"/>
            <a:gd name="connsiteY0" fmla="*/ 591647 h 591647"/>
            <a:gd name="connsiteX1" fmla="*/ 299333 w 307835"/>
            <a:gd name="connsiteY1" fmla="*/ 154729 h 591647"/>
            <a:gd name="connsiteX2" fmla="*/ 0 w 307835"/>
            <a:gd name="connsiteY2" fmla="*/ 682 h 591647"/>
            <a:gd name="connsiteX0" fmla="*/ 207808 w 222715"/>
            <a:gd name="connsiteY0" fmla="*/ 591518 h 591518"/>
            <a:gd name="connsiteX1" fmla="*/ 144634 w 222715"/>
            <a:gd name="connsiteY1" fmla="*/ 171626 h 591518"/>
            <a:gd name="connsiteX2" fmla="*/ 0 w 222715"/>
            <a:gd name="connsiteY2" fmla="*/ 553 h 591518"/>
            <a:gd name="connsiteX0" fmla="*/ 207808 w 222715"/>
            <a:gd name="connsiteY0" fmla="*/ 591099 h 591099"/>
            <a:gd name="connsiteX1" fmla="*/ 144634 w 222715"/>
            <a:gd name="connsiteY1" fmla="*/ 171207 h 591099"/>
            <a:gd name="connsiteX2" fmla="*/ 0 w 222715"/>
            <a:gd name="connsiteY2" fmla="*/ 134 h 591099"/>
            <a:gd name="connsiteX0" fmla="*/ 207808 w 208015"/>
            <a:gd name="connsiteY0" fmla="*/ 591099 h 591099"/>
            <a:gd name="connsiteX1" fmla="*/ 144634 w 208015"/>
            <a:gd name="connsiteY1" fmla="*/ 171207 h 591099"/>
            <a:gd name="connsiteX2" fmla="*/ 0 w 208015"/>
            <a:gd name="connsiteY2" fmla="*/ 134 h 591099"/>
            <a:gd name="connsiteX0" fmla="*/ 207808 w 207810"/>
            <a:gd name="connsiteY0" fmla="*/ 590965 h 590965"/>
            <a:gd name="connsiteX1" fmla="*/ 0 w 207810"/>
            <a:gd name="connsiteY1" fmla="*/ 0 h 590965"/>
            <a:gd name="connsiteX0" fmla="*/ 0 w 1123268"/>
            <a:gd name="connsiteY0" fmla="*/ 588248 h 588248"/>
            <a:gd name="connsiteX1" fmla="*/ 1123268 w 1123268"/>
            <a:gd name="connsiteY1" fmla="*/ 0 h 588248"/>
            <a:gd name="connsiteX0" fmla="*/ 0 w 1123268"/>
            <a:gd name="connsiteY0" fmla="*/ 588248 h 588248"/>
            <a:gd name="connsiteX1" fmla="*/ 966025 w 1123268"/>
            <a:gd name="connsiteY1" fmla="*/ 368759 h 588248"/>
            <a:gd name="connsiteX2" fmla="*/ 1123268 w 1123268"/>
            <a:gd name="connsiteY2" fmla="*/ 0 h 588248"/>
            <a:gd name="connsiteX0" fmla="*/ 0 w 1123268"/>
            <a:gd name="connsiteY0" fmla="*/ 588248 h 588248"/>
            <a:gd name="connsiteX1" fmla="*/ 966025 w 1123268"/>
            <a:gd name="connsiteY1" fmla="*/ 368759 h 588248"/>
            <a:gd name="connsiteX2" fmla="*/ 1123268 w 1123268"/>
            <a:gd name="connsiteY2" fmla="*/ 0 h 588248"/>
            <a:gd name="connsiteX0" fmla="*/ 0 w 1123268"/>
            <a:gd name="connsiteY0" fmla="*/ 588248 h 588248"/>
            <a:gd name="connsiteX1" fmla="*/ 966025 w 1123268"/>
            <a:gd name="connsiteY1" fmla="*/ 368759 h 588248"/>
            <a:gd name="connsiteX2" fmla="*/ 1123268 w 1123268"/>
            <a:gd name="connsiteY2" fmla="*/ 0 h 588248"/>
            <a:gd name="connsiteX0" fmla="*/ 0 w 1123268"/>
            <a:gd name="connsiteY0" fmla="*/ 588248 h 588248"/>
            <a:gd name="connsiteX1" fmla="*/ 966025 w 1123268"/>
            <a:gd name="connsiteY1" fmla="*/ 368759 h 588248"/>
            <a:gd name="connsiteX2" fmla="*/ 1123268 w 1123268"/>
            <a:gd name="connsiteY2" fmla="*/ 0 h 588248"/>
            <a:gd name="connsiteX0" fmla="*/ 0 w 1123268"/>
            <a:gd name="connsiteY0" fmla="*/ 588248 h 588248"/>
            <a:gd name="connsiteX1" fmla="*/ 966025 w 1123268"/>
            <a:gd name="connsiteY1" fmla="*/ 368759 h 588248"/>
            <a:gd name="connsiteX2" fmla="*/ 1123268 w 1123268"/>
            <a:gd name="connsiteY2" fmla="*/ 0 h 588248"/>
            <a:gd name="connsiteX0" fmla="*/ 0 w 1123268"/>
            <a:gd name="connsiteY0" fmla="*/ 588248 h 588248"/>
            <a:gd name="connsiteX1" fmla="*/ 966025 w 1123268"/>
            <a:gd name="connsiteY1" fmla="*/ 368759 h 588248"/>
            <a:gd name="connsiteX2" fmla="*/ 1123268 w 1123268"/>
            <a:gd name="connsiteY2" fmla="*/ 0 h 588248"/>
          </a:gdLst>
          <a:ahLst/>
          <a:cxnLst>
            <a:cxn ang="0">
              <a:pos x="connsiteX0" y="connsiteY0"/>
            </a:cxn>
            <a:cxn ang="0">
              <a:pos x="connsiteX1" y="connsiteY1"/>
            </a:cxn>
            <a:cxn ang="0">
              <a:pos x="connsiteX2" y="connsiteY2"/>
            </a:cxn>
          </a:cxnLst>
          <a:rect l="l" t="t" r="r" b="b"/>
          <a:pathLst>
            <a:path w="1123268" h="588248">
              <a:moveTo>
                <a:pt x="0" y="588248"/>
              </a:moveTo>
              <a:cubicBezTo>
                <a:pt x="698626" y="519612"/>
                <a:pt x="913611" y="491679"/>
                <a:pt x="966025" y="368759"/>
              </a:cubicBezTo>
              <a:lnTo>
                <a:pt x="1123268" y="0"/>
              </a:lnTo>
            </a:path>
          </a:pathLst>
        </a:custGeom>
        <a:noFill/>
        <a:ln>
          <a:headEnd type="none"/>
          <a:tailEnd type="arrow" w="sm"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11207</xdr:colOff>
      <xdr:row>37</xdr:row>
      <xdr:rowOff>33619</xdr:rowOff>
    </xdr:from>
    <xdr:to>
      <xdr:col>5</xdr:col>
      <xdr:colOff>11207</xdr:colOff>
      <xdr:row>53</xdr:row>
      <xdr:rowOff>100854</xdr:rowOff>
    </xdr:to>
    <xdr:graphicFrame macro="">
      <xdr:nvGraphicFramePr>
        <xdr:cNvPr id="103" name="Chart 102">
          <a:extLst>
            <a:ext uri="{FF2B5EF4-FFF2-40B4-BE49-F238E27FC236}">
              <a16:creationId xmlns:a16="http://schemas.microsoft.com/office/drawing/2014/main" id="{1E5E6EA6-8C99-43C3-B0C3-74D696056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11906</xdr:colOff>
      <xdr:row>22</xdr:row>
      <xdr:rowOff>12957</xdr:rowOff>
    </xdr:from>
    <xdr:to>
      <xdr:col>31</xdr:col>
      <xdr:colOff>0</xdr:colOff>
      <xdr:row>32</xdr:row>
      <xdr:rowOff>184547</xdr:rowOff>
    </xdr:to>
    <xdr:graphicFrame macro="">
      <xdr:nvGraphicFramePr>
        <xdr:cNvPr id="104" name="Chart 103">
          <a:extLst>
            <a:ext uri="{FF2B5EF4-FFF2-40B4-BE49-F238E27FC236}">
              <a16:creationId xmlns:a16="http://schemas.microsoft.com/office/drawing/2014/main" id="{E074EA8A-9703-41FC-9261-9BDF37C64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1</xdr:col>
      <xdr:colOff>9525</xdr:colOff>
      <xdr:row>2</xdr:row>
      <xdr:rowOff>76199</xdr:rowOff>
    </xdr:from>
    <xdr:ext cx="2343150" cy="5438775"/>
    <xdr:sp macro="" textlink="">
      <xdr:nvSpPr>
        <xdr:cNvPr id="2" name="TextBox 1">
          <a:extLst>
            <a:ext uri="{FF2B5EF4-FFF2-40B4-BE49-F238E27FC236}">
              <a16:creationId xmlns:a16="http://schemas.microsoft.com/office/drawing/2014/main" id="{2846AACD-95F5-4378-96EE-463D381C1F79}"/>
            </a:ext>
          </a:extLst>
        </xdr:cNvPr>
        <xdr:cNvSpPr txBox="1"/>
      </xdr:nvSpPr>
      <xdr:spPr>
        <a:xfrm>
          <a:off x="161925" y="352424"/>
          <a:ext cx="2343150" cy="5438775"/>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noAutofit/>
        </a:bodyPr>
        <a:lstStyle/>
        <a:p>
          <a:r>
            <a:rPr lang="en-AU" sz="1100" b="1">
              <a:solidFill>
                <a:schemeClr val="tx2">
                  <a:lumMod val="50000"/>
                </a:schemeClr>
              </a:solidFill>
            </a:rPr>
            <a:t>Data input</a:t>
          </a:r>
        </a:p>
      </xdr:txBody>
    </xdr:sp>
    <xdr:clientData/>
  </xdr:oneCellAnchor>
  <xdr:twoCellAnchor editAs="oneCell">
    <xdr:from>
      <xdr:col>5</xdr:col>
      <xdr:colOff>419100</xdr:colOff>
      <xdr:row>3</xdr:row>
      <xdr:rowOff>180975</xdr:rowOff>
    </xdr:from>
    <xdr:to>
      <xdr:col>17</xdr:col>
      <xdr:colOff>569443</xdr:colOff>
      <xdr:row>31</xdr:row>
      <xdr:rowOff>18194</xdr:rowOff>
    </xdr:to>
    <xdr:pic>
      <xdr:nvPicPr>
        <xdr:cNvPr id="3" name="Picture 2">
          <a:extLst>
            <a:ext uri="{FF2B5EF4-FFF2-40B4-BE49-F238E27FC236}">
              <a16:creationId xmlns:a16="http://schemas.microsoft.com/office/drawing/2014/main" id="{B5878F32-6AF6-467C-B6FE-75F534CCEE97}"/>
            </a:ext>
          </a:extLst>
        </xdr:cNvPr>
        <xdr:cNvPicPr>
          <a:picLocks noChangeAspect="1"/>
        </xdr:cNvPicPr>
      </xdr:nvPicPr>
      <xdr:blipFill>
        <a:blip xmlns:r="http://schemas.openxmlformats.org/officeDocument/2006/relationships" r:embed="rId1"/>
        <a:stretch>
          <a:fillRect/>
        </a:stretch>
      </xdr:blipFill>
      <xdr:spPr>
        <a:xfrm>
          <a:off x="3009900" y="647700"/>
          <a:ext cx="7465543" cy="5171219"/>
        </a:xfrm>
        <a:prstGeom prst="rect">
          <a:avLst/>
        </a:prstGeom>
      </xdr:spPr>
    </xdr:pic>
    <xdr:clientData/>
  </xdr:twoCellAnchor>
  <xdr:oneCellAnchor>
    <xdr:from>
      <xdr:col>1</xdr:col>
      <xdr:colOff>76199</xdr:colOff>
      <xdr:row>4</xdr:row>
      <xdr:rowOff>0</xdr:rowOff>
    </xdr:from>
    <xdr:ext cx="2192400" cy="436786"/>
    <xdr:sp macro="" textlink="">
      <xdr:nvSpPr>
        <xdr:cNvPr id="4" name="TextBox 3">
          <a:extLst>
            <a:ext uri="{FF2B5EF4-FFF2-40B4-BE49-F238E27FC236}">
              <a16:creationId xmlns:a16="http://schemas.microsoft.com/office/drawing/2014/main" id="{074FE398-C47F-4C47-9CEF-224F8195F60E}"/>
            </a:ext>
          </a:extLst>
        </xdr:cNvPr>
        <xdr:cNvSpPr txBox="1"/>
      </xdr:nvSpPr>
      <xdr:spPr>
        <a:xfrm>
          <a:off x="228599" y="657225"/>
          <a:ext cx="2192400" cy="43678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lang="en-AU" sz="1100">
              <a:solidFill>
                <a:schemeClr val="bg1">
                  <a:lumMod val="95000"/>
                </a:schemeClr>
              </a:solidFill>
              <a:effectLst/>
              <a:latin typeface="+mn-lt"/>
              <a:ea typeface="+mn-ea"/>
              <a:cs typeface="+mn-cs"/>
            </a:rPr>
            <a:t>1. Select your source </a:t>
          </a:r>
        </a:p>
        <a:p>
          <a:r>
            <a:rPr lang="en-AU" sz="1100">
              <a:solidFill>
                <a:schemeClr val="bg1">
                  <a:lumMod val="95000"/>
                </a:schemeClr>
              </a:solidFill>
              <a:effectLst/>
              <a:latin typeface="+mn-lt"/>
              <a:ea typeface="+mn-ea"/>
              <a:cs typeface="+mn-cs"/>
            </a:rPr>
            <a:t>(Electricty or diesel) </a:t>
          </a:r>
          <a:endParaRPr lang="en-AU">
            <a:solidFill>
              <a:schemeClr val="bg1">
                <a:lumMod val="95000"/>
              </a:schemeClr>
            </a:solidFill>
            <a:effectLst/>
          </a:endParaRPr>
        </a:p>
      </xdr:txBody>
    </xdr:sp>
    <xdr:clientData/>
  </xdr:oneCellAnchor>
  <xdr:oneCellAnchor>
    <xdr:from>
      <xdr:col>1</xdr:col>
      <xdr:colOff>76199</xdr:colOff>
      <xdr:row>6</xdr:row>
      <xdr:rowOff>116087</xdr:rowOff>
    </xdr:from>
    <xdr:ext cx="2192400" cy="609600"/>
    <xdr:sp macro="" textlink="">
      <xdr:nvSpPr>
        <xdr:cNvPr id="5" name="TextBox 4">
          <a:extLst>
            <a:ext uri="{FF2B5EF4-FFF2-40B4-BE49-F238E27FC236}">
              <a16:creationId xmlns:a16="http://schemas.microsoft.com/office/drawing/2014/main" id="{6EDC225B-F20E-4E37-A051-5BF665CC6CF5}"/>
            </a:ext>
          </a:extLst>
        </xdr:cNvPr>
        <xdr:cNvSpPr txBox="1"/>
      </xdr:nvSpPr>
      <xdr:spPr>
        <a:xfrm>
          <a:off x="228599" y="1154312"/>
          <a:ext cx="2192400" cy="609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r>
            <a:rPr lang="en-AU" sz="1100">
              <a:solidFill>
                <a:schemeClr val="lt1"/>
              </a:solidFill>
              <a:effectLst/>
              <a:latin typeface="+mn-lt"/>
              <a:ea typeface="+mn-ea"/>
              <a:cs typeface="+mn-cs"/>
            </a:rPr>
            <a:t>2. Select how</a:t>
          </a:r>
          <a:r>
            <a:rPr lang="en-AU" sz="1100" baseline="0">
              <a:solidFill>
                <a:schemeClr val="lt1"/>
              </a:solidFill>
              <a:effectLst/>
              <a:latin typeface="+mn-lt"/>
              <a:ea typeface="+mn-ea"/>
              <a:cs typeface="+mn-cs"/>
            </a:rPr>
            <a:t> you will get your energy and water use data </a:t>
          </a:r>
          <a:endParaRPr lang="en-AU">
            <a:effectLst/>
          </a:endParaRPr>
        </a:p>
        <a:p>
          <a:r>
            <a:rPr lang="en-AU" sz="1100">
              <a:solidFill>
                <a:schemeClr val="lt1"/>
              </a:solidFill>
              <a:effectLst/>
              <a:latin typeface="+mn-lt"/>
              <a:ea typeface="+mn-ea"/>
              <a:cs typeface="+mn-cs"/>
            </a:rPr>
            <a:t>(From</a:t>
          </a:r>
          <a:r>
            <a:rPr lang="en-AU" sz="1100" baseline="0">
              <a:solidFill>
                <a:schemeClr val="lt1"/>
              </a:solidFill>
              <a:effectLst/>
              <a:latin typeface="+mn-lt"/>
              <a:ea typeface="+mn-ea"/>
              <a:cs typeface="+mn-cs"/>
            </a:rPr>
            <a:t> bills or estimation</a:t>
          </a:r>
          <a:r>
            <a:rPr lang="en-AU" sz="1100">
              <a:solidFill>
                <a:schemeClr val="lt1"/>
              </a:solidFill>
              <a:effectLst/>
              <a:latin typeface="+mn-lt"/>
              <a:ea typeface="+mn-ea"/>
              <a:cs typeface="+mn-cs"/>
            </a:rPr>
            <a:t>) </a:t>
          </a:r>
          <a:endParaRPr lang="en-AU">
            <a:solidFill>
              <a:schemeClr val="bg1">
                <a:lumMod val="95000"/>
              </a:schemeClr>
            </a:solidFill>
            <a:effectLst/>
          </a:endParaRPr>
        </a:p>
      </xdr:txBody>
    </xdr:sp>
    <xdr:clientData/>
  </xdr:oneCellAnchor>
  <xdr:oneCellAnchor>
    <xdr:from>
      <xdr:col>1</xdr:col>
      <xdr:colOff>76199</xdr:colOff>
      <xdr:row>10</xdr:row>
      <xdr:rowOff>23988</xdr:rowOff>
    </xdr:from>
    <xdr:ext cx="2192400" cy="609013"/>
    <xdr:sp macro="" textlink="">
      <xdr:nvSpPr>
        <xdr:cNvPr id="6" name="TextBox 5">
          <a:extLst>
            <a:ext uri="{FF2B5EF4-FFF2-40B4-BE49-F238E27FC236}">
              <a16:creationId xmlns:a16="http://schemas.microsoft.com/office/drawing/2014/main" id="{B3EF1744-8AA9-4606-9A7F-D85201DA668D}"/>
            </a:ext>
          </a:extLst>
        </xdr:cNvPr>
        <xdr:cNvSpPr txBox="1"/>
      </xdr:nvSpPr>
      <xdr:spPr>
        <a:xfrm>
          <a:off x="228599" y="1824213"/>
          <a:ext cx="2192400" cy="60901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3. Select the time</a:t>
          </a:r>
          <a:r>
            <a:rPr lang="en-AU" sz="1100" baseline="0">
              <a:solidFill>
                <a:schemeClr val="lt1"/>
              </a:solidFill>
              <a:effectLst/>
              <a:latin typeface="+mn-lt"/>
              <a:ea typeface="+mn-ea"/>
              <a:cs typeface="+mn-cs"/>
            </a:rPr>
            <a:t> interval is your energy and water use data</a:t>
          </a:r>
          <a:endParaRPr lang="en-AU">
            <a:effectLst/>
          </a:endParaRPr>
        </a:p>
        <a:p>
          <a:r>
            <a:rPr lang="en-AU" sz="1100">
              <a:solidFill>
                <a:schemeClr val="lt1"/>
              </a:solidFill>
              <a:effectLst/>
              <a:latin typeface="+mn-lt"/>
              <a:ea typeface="+mn-ea"/>
              <a:cs typeface="+mn-cs"/>
            </a:rPr>
            <a:t>(Annually, Quarterly, Monthly) </a:t>
          </a:r>
          <a:endParaRPr lang="en-AU">
            <a:solidFill>
              <a:schemeClr val="bg1">
                <a:lumMod val="95000"/>
              </a:schemeClr>
            </a:solidFill>
            <a:effectLst/>
          </a:endParaRPr>
        </a:p>
      </xdr:txBody>
    </xdr:sp>
    <xdr:clientData/>
  </xdr:oneCellAnchor>
  <xdr:oneCellAnchor>
    <xdr:from>
      <xdr:col>1</xdr:col>
      <xdr:colOff>76199</xdr:colOff>
      <xdr:row>13</xdr:row>
      <xdr:rowOff>121802</xdr:rowOff>
    </xdr:from>
    <xdr:ext cx="2192400" cy="264560"/>
    <xdr:sp macro="" textlink="">
      <xdr:nvSpPr>
        <xdr:cNvPr id="7" name="TextBox 6">
          <a:extLst>
            <a:ext uri="{FF2B5EF4-FFF2-40B4-BE49-F238E27FC236}">
              <a16:creationId xmlns:a16="http://schemas.microsoft.com/office/drawing/2014/main" id="{8667AAA3-35BD-4CA0-A252-857C5F3F02DC}"/>
            </a:ext>
          </a:extLst>
        </xdr:cNvPr>
        <xdr:cNvSpPr txBox="1"/>
      </xdr:nvSpPr>
      <xdr:spPr>
        <a:xfrm>
          <a:off x="228599" y="2493527"/>
          <a:ext cx="2192400"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4. Enter</a:t>
          </a:r>
          <a:r>
            <a:rPr lang="en-AU" sz="1100" baseline="0">
              <a:solidFill>
                <a:schemeClr val="lt1"/>
              </a:solidFill>
              <a:effectLst/>
              <a:latin typeface="+mn-lt"/>
              <a:ea typeface="+mn-ea"/>
              <a:cs typeface="+mn-cs"/>
            </a:rPr>
            <a:t> energy cost and usage</a:t>
          </a:r>
          <a:endParaRPr lang="en-AU">
            <a:solidFill>
              <a:schemeClr val="bg1">
                <a:lumMod val="95000"/>
              </a:schemeClr>
            </a:solidFill>
            <a:effectLst/>
          </a:endParaRPr>
        </a:p>
      </xdr:txBody>
    </xdr:sp>
    <xdr:clientData/>
  </xdr:oneCellAnchor>
  <xdr:twoCellAnchor>
    <xdr:from>
      <xdr:col>4</xdr:col>
      <xdr:colOff>439799</xdr:colOff>
      <xdr:row>4</xdr:row>
      <xdr:rowOff>114300</xdr:rowOff>
    </xdr:from>
    <xdr:to>
      <xdr:col>8</xdr:col>
      <xdr:colOff>85725</xdr:colOff>
      <xdr:row>5</xdr:row>
      <xdr:rowOff>27893</xdr:rowOff>
    </xdr:to>
    <xdr:cxnSp macro="">
      <xdr:nvCxnSpPr>
        <xdr:cNvPr id="8" name="Straight Arrow Connector 7">
          <a:extLst>
            <a:ext uri="{FF2B5EF4-FFF2-40B4-BE49-F238E27FC236}">
              <a16:creationId xmlns:a16="http://schemas.microsoft.com/office/drawing/2014/main" id="{2DF46841-257C-4427-9739-3BDC118F0F8B}"/>
            </a:ext>
          </a:extLst>
        </xdr:cNvPr>
        <xdr:cNvCxnSpPr>
          <a:stCxn id="4" idx="3"/>
        </xdr:cNvCxnSpPr>
      </xdr:nvCxnSpPr>
      <xdr:spPr>
        <a:xfrm flipV="1">
          <a:off x="2420999" y="771525"/>
          <a:ext cx="2084326" cy="10409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439799</xdr:colOff>
      <xdr:row>6</xdr:row>
      <xdr:rowOff>28575</xdr:rowOff>
    </xdr:from>
    <xdr:to>
      <xdr:col>8</xdr:col>
      <xdr:colOff>76200</xdr:colOff>
      <xdr:row>8</xdr:row>
      <xdr:rowOff>39887</xdr:rowOff>
    </xdr:to>
    <xdr:cxnSp macro="">
      <xdr:nvCxnSpPr>
        <xdr:cNvPr id="9" name="Straight Arrow Connector 8">
          <a:extLst>
            <a:ext uri="{FF2B5EF4-FFF2-40B4-BE49-F238E27FC236}">
              <a16:creationId xmlns:a16="http://schemas.microsoft.com/office/drawing/2014/main" id="{3D38CBA1-A695-4915-8FDE-B660833D5E8B}"/>
            </a:ext>
          </a:extLst>
        </xdr:cNvPr>
        <xdr:cNvCxnSpPr>
          <a:stCxn id="5" idx="3"/>
        </xdr:cNvCxnSpPr>
      </xdr:nvCxnSpPr>
      <xdr:spPr>
        <a:xfrm flipV="1">
          <a:off x="2420999" y="1066800"/>
          <a:ext cx="2074801" cy="3923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439799</xdr:colOff>
      <xdr:row>6</xdr:row>
      <xdr:rowOff>66675</xdr:rowOff>
    </xdr:from>
    <xdr:to>
      <xdr:col>11</xdr:col>
      <xdr:colOff>314325</xdr:colOff>
      <xdr:row>8</xdr:row>
      <xdr:rowOff>39887</xdr:rowOff>
    </xdr:to>
    <xdr:cxnSp macro="">
      <xdr:nvCxnSpPr>
        <xdr:cNvPr id="10" name="Straight Arrow Connector 9">
          <a:extLst>
            <a:ext uri="{FF2B5EF4-FFF2-40B4-BE49-F238E27FC236}">
              <a16:creationId xmlns:a16="http://schemas.microsoft.com/office/drawing/2014/main" id="{8359E9D6-6E4D-4D7A-A79C-12320AEF9C08}"/>
            </a:ext>
          </a:extLst>
        </xdr:cNvPr>
        <xdr:cNvCxnSpPr>
          <a:stCxn id="5" idx="3"/>
        </xdr:cNvCxnSpPr>
      </xdr:nvCxnSpPr>
      <xdr:spPr>
        <a:xfrm flipV="1">
          <a:off x="2420999" y="1104900"/>
          <a:ext cx="4141726" cy="3542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439799</xdr:colOff>
      <xdr:row>8</xdr:row>
      <xdr:rowOff>76200</xdr:rowOff>
    </xdr:from>
    <xdr:to>
      <xdr:col>8</xdr:col>
      <xdr:colOff>76200</xdr:colOff>
      <xdr:row>11</xdr:row>
      <xdr:rowOff>137995</xdr:rowOff>
    </xdr:to>
    <xdr:cxnSp macro="">
      <xdr:nvCxnSpPr>
        <xdr:cNvPr id="11" name="Straight Arrow Connector 10">
          <a:extLst>
            <a:ext uri="{FF2B5EF4-FFF2-40B4-BE49-F238E27FC236}">
              <a16:creationId xmlns:a16="http://schemas.microsoft.com/office/drawing/2014/main" id="{C06C0379-758D-44F6-BC47-043F2A6C9A92}"/>
            </a:ext>
          </a:extLst>
        </xdr:cNvPr>
        <xdr:cNvCxnSpPr>
          <a:stCxn id="6" idx="3"/>
        </xdr:cNvCxnSpPr>
      </xdr:nvCxnSpPr>
      <xdr:spPr>
        <a:xfrm flipV="1">
          <a:off x="2420999" y="1495425"/>
          <a:ext cx="2074801" cy="63329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439799</xdr:colOff>
      <xdr:row>8</xdr:row>
      <xdr:rowOff>28575</xdr:rowOff>
    </xdr:from>
    <xdr:to>
      <xdr:col>11</xdr:col>
      <xdr:colOff>314325</xdr:colOff>
      <xdr:row>11</xdr:row>
      <xdr:rowOff>137995</xdr:rowOff>
    </xdr:to>
    <xdr:cxnSp macro="">
      <xdr:nvCxnSpPr>
        <xdr:cNvPr id="12" name="Straight Arrow Connector 11">
          <a:extLst>
            <a:ext uri="{FF2B5EF4-FFF2-40B4-BE49-F238E27FC236}">
              <a16:creationId xmlns:a16="http://schemas.microsoft.com/office/drawing/2014/main" id="{88651622-65C1-469B-B487-039639E47C3F}"/>
            </a:ext>
          </a:extLst>
        </xdr:cNvPr>
        <xdr:cNvCxnSpPr>
          <a:stCxn id="6" idx="3"/>
        </xdr:cNvCxnSpPr>
      </xdr:nvCxnSpPr>
      <xdr:spPr>
        <a:xfrm flipV="1">
          <a:off x="2420999" y="1447800"/>
          <a:ext cx="4141726" cy="6809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76199</xdr:colOff>
      <xdr:row>15</xdr:row>
      <xdr:rowOff>65663</xdr:rowOff>
    </xdr:from>
    <xdr:ext cx="2192400" cy="264560"/>
    <xdr:sp macro="" textlink="">
      <xdr:nvSpPr>
        <xdr:cNvPr id="13" name="TextBox 12">
          <a:extLst>
            <a:ext uri="{FF2B5EF4-FFF2-40B4-BE49-F238E27FC236}">
              <a16:creationId xmlns:a16="http://schemas.microsoft.com/office/drawing/2014/main" id="{DCEE1D92-AD7D-4297-AD4C-C07F0AC9856C}"/>
            </a:ext>
          </a:extLst>
        </xdr:cNvPr>
        <xdr:cNvSpPr txBox="1"/>
      </xdr:nvSpPr>
      <xdr:spPr>
        <a:xfrm>
          <a:off x="228599" y="2818388"/>
          <a:ext cx="2192400"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5. Enter</a:t>
          </a:r>
          <a:r>
            <a:rPr lang="en-AU" sz="1100" baseline="0">
              <a:solidFill>
                <a:schemeClr val="lt1"/>
              </a:solidFill>
              <a:effectLst/>
              <a:latin typeface="+mn-lt"/>
              <a:ea typeface="+mn-ea"/>
              <a:cs typeface="+mn-cs"/>
            </a:rPr>
            <a:t> water cost and usage</a:t>
          </a:r>
          <a:endParaRPr lang="en-AU">
            <a:solidFill>
              <a:schemeClr val="bg1">
                <a:lumMod val="95000"/>
              </a:schemeClr>
            </a:solidFill>
            <a:effectLst/>
          </a:endParaRPr>
        </a:p>
      </xdr:txBody>
    </xdr:sp>
    <xdr:clientData/>
  </xdr:oneCellAnchor>
  <xdr:twoCellAnchor>
    <xdr:from>
      <xdr:col>4</xdr:col>
      <xdr:colOff>457200</xdr:colOff>
      <xdr:row>11</xdr:row>
      <xdr:rowOff>38100</xdr:rowOff>
    </xdr:from>
    <xdr:to>
      <xdr:col>11</xdr:col>
      <xdr:colOff>38100</xdr:colOff>
      <xdr:row>15</xdr:row>
      <xdr:rowOff>180975</xdr:rowOff>
    </xdr:to>
    <xdr:cxnSp macro="">
      <xdr:nvCxnSpPr>
        <xdr:cNvPr id="14" name="Straight Arrow Connector 13">
          <a:extLst>
            <a:ext uri="{FF2B5EF4-FFF2-40B4-BE49-F238E27FC236}">
              <a16:creationId xmlns:a16="http://schemas.microsoft.com/office/drawing/2014/main" id="{8C1F0223-3592-420A-809E-AE36AE4355C5}"/>
            </a:ext>
          </a:extLst>
        </xdr:cNvPr>
        <xdr:cNvCxnSpPr/>
      </xdr:nvCxnSpPr>
      <xdr:spPr>
        <a:xfrm flipV="1">
          <a:off x="2438400" y="2028825"/>
          <a:ext cx="3848100" cy="904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439799</xdr:colOff>
      <xdr:row>11</xdr:row>
      <xdr:rowOff>9525</xdr:rowOff>
    </xdr:from>
    <xdr:to>
      <xdr:col>12</xdr:col>
      <xdr:colOff>28575</xdr:colOff>
      <xdr:row>16</xdr:row>
      <xdr:rowOff>7443</xdr:rowOff>
    </xdr:to>
    <xdr:cxnSp macro="">
      <xdr:nvCxnSpPr>
        <xdr:cNvPr id="15" name="Straight Arrow Connector 14">
          <a:extLst>
            <a:ext uri="{FF2B5EF4-FFF2-40B4-BE49-F238E27FC236}">
              <a16:creationId xmlns:a16="http://schemas.microsoft.com/office/drawing/2014/main" id="{20A8907C-0DEB-4CE1-9A4E-7DCEDA9D6307}"/>
            </a:ext>
          </a:extLst>
        </xdr:cNvPr>
        <xdr:cNvCxnSpPr>
          <a:stCxn id="13" idx="3"/>
        </xdr:cNvCxnSpPr>
      </xdr:nvCxnSpPr>
      <xdr:spPr>
        <a:xfrm flipV="1">
          <a:off x="2420999" y="2000250"/>
          <a:ext cx="4465576" cy="95041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439799</xdr:colOff>
      <xdr:row>11</xdr:row>
      <xdr:rowOff>9525</xdr:rowOff>
    </xdr:from>
    <xdr:to>
      <xdr:col>7</xdr:col>
      <xdr:colOff>333375</xdr:colOff>
      <xdr:row>14</xdr:row>
      <xdr:rowOff>63582</xdr:rowOff>
    </xdr:to>
    <xdr:cxnSp macro="">
      <xdr:nvCxnSpPr>
        <xdr:cNvPr id="16" name="Straight Arrow Connector 15">
          <a:extLst>
            <a:ext uri="{FF2B5EF4-FFF2-40B4-BE49-F238E27FC236}">
              <a16:creationId xmlns:a16="http://schemas.microsoft.com/office/drawing/2014/main" id="{804524A2-B976-4794-A0C8-86ADFFE09E78}"/>
            </a:ext>
          </a:extLst>
        </xdr:cNvPr>
        <xdr:cNvCxnSpPr>
          <a:stCxn id="7" idx="3"/>
        </xdr:cNvCxnSpPr>
      </xdr:nvCxnSpPr>
      <xdr:spPr>
        <a:xfrm flipV="1">
          <a:off x="2420999" y="2000250"/>
          <a:ext cx="1722376" cy="62555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472440</xdr:colOff>
      <xdr:row>11</xdr:row>
      <xdr:rowOff>19050</xdr:rowOff>
    </xdr:from>
    <xdr:to>
      <xdr:col>9</xdr:col>
      <xdr:colOff>0</xdr:colOff>
      <xdr:row>14</xdr:row>
      <xdr:rowOff>30480</xdr:rowOff>
    </xdr:to>
    <xdr:cxnSp macro="">
      <xdr:nvCxnSpPr>
        <xdr:cNvPr id="17" name="Straight Arrow Connector 16">
          <a:extLst>
            <a:ext uri="{FF2B5EF4-FFF2-40B4-BE49-F238E27FC236}">
              <a16:creationId xmlns:a16="http://schemas.microsoft.com/office/drawing/2014/main" id="{A2F9D01A-2B60-43BF-82CC-C0FBB0B7D5CC}"/>
            </a:ext>
          </a:extLst>
        </xdr:cNvPr>
        <xdr:cNvCxnSpPr/>
      </xdr:nvCxnSpPr>
      <xdr:spPr>
        <a:xfrm flipV="1">
          <a:off x="2453640" y="2009775"/>
          <a:ext cx="2575560" cy="58293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361950</xdr:colOff>
      <xdr:row>2</xdr:row>
      <xdr:rowOff>57149</xdr:rowOff>
    </xdr:from>
    <xdr:ext cx="2343150" cy="5553075"/>
    <xdr:sp macro="" textlink="">
      <xdr:nvSpPr>
        <xdr:cNvPr id="18" name="TextBox 17">
          <a:extLst>
            <a:ext uri="{FF2B5EF4-FFF2-40B4-BE49-F238E27FC236}">
              <a16:creationId xmlns:a16="http://schemas.microsoft.com/office/drawing/2014/main" id="{266C006B-B257-44CD-85F1-4307A0D8E0D4}"/>
            </a:ext>
          </a:extLst>
        </xdr:cNvPr>
        <xdr:cNvSpPr txBox="1"/>
      </xdr:nvSpPr>
      <xdr:spPr>
        <a:xfrm>
          <a:off x="10877550" y="333374"/>
          <a:ext cx="2343150" cy="5553075"/>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lang="en-AU" sz="1100" b="1">
              <a:solidFill>
                <a:schemeClr val="tx2">
                  <a:lumMod val="50000"/>
                </a:schemeClr>
              </a:solidFill>
            </a:rPr>
            <a:t>Interpretation of outputs</a:t>
          </a:r>
        </a:p>
      </xdr:txBody>
    </xdr:sp>
    <xdr:clientData/>
  </xdr:oneCellAnchor>
  <xdr:oneCellAnchor>
    <xdr:from>
      <xdr:col>18</xdr:col>
      <xdr:colOff>433387</xdr:colOff>
      <xdr:row>3</xdr:row>
      <xdr:rowOff>171450</xdr:rowOff>
    </xdr:from>
    <xdr:ext cx="2228400" cy="436786"/>
    <xdr:sp macro="" textlink="">
      <xdr:nvSpPr>
        <xdr:cNvPr id="19" name="TextBox 18">
          <a:extLst>
            <a:ext uri="{FF2B5EF4-FFF2-40B4-BE49-F238E27FC236}">
              <a16:creationId xmlns:a16="http://schemas.microsoft.com/office/drawing/2014/main" id="{18283C9C-D46C-4655-8C50-F2E0038A6CFA}"/>
            </a:ext>
          </a:extLst>
        </xdr:cNvPr>
        <xdr:cNvSpPr txBox="1"/>
      </xdr:nvSpPr>
      <xdr:spPr>
        <a:xfrm>
          <a:off x="10948987" y="638175"/>
          <a:ext cx="2228400" cy="436786"/>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rtlCol="0" anchor="t">
          <a:spAutoFit/>
        </a:bodyPr>
        <a:lstStyle/>
        <a:p>
          <a:r>
            <a:rPr lang="en-AU" sz="1100">
              <a:solidFill>
                <a:schemeClr val="bg1">
                  <a:lumMod val="95000"/>
                </a:schemeClr>
              </a:solidFill>
              <a:effectLst/>
              <a:latin typeface="+mn-lt"/>
              <a:ea typeface="+mn-ea"/>
              <a:cs typeface="+mn-cs"/>
            </a:rPr>
            <a:t>1. Summary of energy</a:t>
          </a:r>
          <a:r>
            <a:rPr lang="en-AU" sz="1100" baseline="0">
              <a:solidFill>
                <a:schemeClr val="bg1">
                  <a:lumMod val="95000"/>
                </a:schemeClr>
              </a:solidFill>
              <a:effectLst/>
              <a:latin typeface="+mn-lt"/>
              <a:ea typeface="+mn-ea"/>
              <a:cs typeface="+mn-cs"/>
            </a:rPr>
            <a:t> use and costs </a:t>
          </a:r>
          <a:endParaRPr lang="en-AU">
            <a:solidFill>
              <a:schemeClr val="bg1">
                <a:lumMod val="95000"/>
              </a:schemeClr>
            </a:solidFill>
            <a:effectLst/>
          </a:endParaRPr>
        </a:p>
      </xdr:txBody>
    </xdr:sp>
    <xdr:clientData/>
  </xdr:oneCellAnchor>
  <xdr:oneCellAnchor>
    <xdr:from>
      <xdr:col>18</xdr:col>
      <xdr:colOff>433387</xdr:colOff>
      <xdr:row>6</xdr:row>
      <xdr:rowOff>102960</xdr:rowOff>
    </xdr:from>
    <xdr:ext cx="2228400" cy="323850"/>
    <xdr:sp macro="" textlink="">
      <xdr:nvSpPr>
        <xdr:cNvPr id="20" name="TextBox 19">
          <a:extLst>
            <a:ext uri="{FF2B5EF4-FFF2-40B4-BE49-F238E27FC236}">
              <a16:creationId xmlns:a16="http://schemas.microsoft.com/office/drawing/2014/main" id="{6B02FAA3-1C0E-4127-BF5E-3FCBD7AA3F81}"/>
            </a:ext>
          </a:extLst>
        </xdr:cNvPr>
        <xdr:cNvSpPr txBox="1"/>
      </xdr:nvSpPr>
      <xdr:spPr>
        <a:xfrm>
          <a:off x="10948987" y="1141185"/>
          <a:ext cx="2228400" cy="323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noAutofit/>
        </a:bodyPr>
        <a:lstStyle/>
        <a:p>
          <a:r>
            <a:rPr lang="en-AU" sz="1100">
              <a:solidFill>
                <a:schemeClr val="lt1"/>
              </a:solidFill>
              <a:effectLst/>
              <a:latin typeface="+mn-lt"/>
              <a:ea typeface="+mn-ea"/>
              <a:cs typeface="+mn-cs"/>
            </a:rPr>
            <a:t>2. Summary of water</a:t>
          </a:r>
          <a:r>
            <a:rPr lang="en-AU" sz="1100" baseline="0">
              <a:solidFill>
                <a:schemeClr val="lt1"/>
              </a:solidFill>
              <a:effectLst/>
              <a:latin typeface="+mn-lt"/>
              <a:ea typeface="+mn-ea"/>
              <a:cs typeface="+mn-cs"/>
            </a:rPr>
            <a:t> use and costs </a:t>
          </a:r>
          <a:endParaRPr lang="en-AU">
            <a:solidFill>
              <a:schemeClr val="bg1">
                <a:lumMod val="95000"/>
              </a:schemeClr>
            </a:solidFill>
            <a:effectLst/>
          </a:endParaRPr>
        </a:p>
      </xdr:txBody>
    </xdr:sp>
    <xdr:clientData/>
  </xdr:oneCellAnchor>
  <xdr:oneCellAnchor>
    <xdr:from>
      <xdr:col>18</xdr:col>
      <xdr:colOff>433387</xdr:colOff>
      <xdr:row>8</xdr:row>
      <xdr:rowOff>112034</xdr:rowOff>
    </xdr:from>
    <xdr:ext cx="2228400" cy="609013"/>
    <xdr:sp macro="" textlink="">
      <xdr:nvSpPr>
        <xdr:cNvPr id="21" name="TextBox 20">
          <a:extLst>
            <a:ext uri="{FF2B5EF4-FFF2-40B4-BE49-F238E27FC236}">
              <a16:creationId xmlns:a16="http://schemas.microsoft.com/office/drawing/2014/main" id="{EEA23A21-16B2-4B80-B0D5-771684DC459A}"/>
            </a:ext>
          </a:extLst>
        </xdr:cNvPr>
        <xdr:cNvSpPr txBox="1"/>
      </xdr:nvSpPr>
      <xdr:spPr>
        <a:xfrm>
          <a:off x="10948987" y="1531259"/>
          <a:ext cx="2228400" cy="609013"/>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3. Average energy tarriff estimated from energy use and water use data</a:t>
          </a:r>
          <a:endParaRPr lang="en-AU">
            <a:solidFill>
              <a:schemeClr val="bg1">
                <a:lumMod val="95000"/>
              </a:schemeClr>
            </a:solidFill>
            <a:effectLst/>
          </a:endParaRPr>
        </a:p>
      </xdr:txBody>
    </xdr:sp>
    <xdr:clientData/>
  </xdr:oneCellAnchor>
  <xdr:oneCellAnchor>
    <xdr:from>
      <xdr:col>18</xdr:col>
      <xdr:colOff>433387</xdr:colOff>
      <xdr:row>12</xdr:row>
      <xdr:rowOff>25271</xdr:rowOff>
    </xdr:from>
    <xdr:ext cx="2228400" cy="264560"/>
    <xdr:sp macro="" textlink="">
      <xdr:nvSpPr>
        <xdr:cNvPr id="22" name="TextBox 21">
          <a:extLst>
            <a:ext uri="{FF2B5EF4-FFF2-40B4-BE49-F238E27FC236}">
              <a16:creationId xmlns:a16="http://schemas.microsoft.com/office/drawing/2014/main" id="{DF5B9B24-73B6-4D67-932C-3D8CDEFB0E9E}"/>
            </a:ext>
          </a:extLst>
        </xdr:cNvPr>
        <xdr:cNvSpPr txBox="1"/>
      </xdr:nvSpPr>
      <xdr:spPr>
        <a:xfrm>
          <a:off x="10948987" y="2206496"/>
          <a:ext cx="2228400" cy="26456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4. Estimated</a:t>
          </a:r>
          <a:r>
            <a:rPr lang="en-AU" sz="1100" baseline="0">
              <a:solidFill>
                <a:schemeClr val="lt1"/>
              </a:solidFill>
              <a:effectLst/>
              <a:latin typeface="+mn-lt"/>
              <a:ea typeface="+mn-ea"/>
              <a:cs typeface="+mn-cs"/>
            </a:rPr>
            <a:t> pumping costs - S/ML</a:t>
          </a:r>
          <a:endParaRPr lang="en-AU">
            <a:solidFill>
              <a:schemeClr val="bg1">
                <a:lumMod val="95000"/>
              </a:schemeClr>
            </a:solidFill>
            <a:effectLst/>
          </a:endParaRPr>
        </a:p>
      </xdr:txBody>
    </xdr:sp>
    <xdr:clientData/>
  </xdr:oneCellAnchor>
  <xdr:oneCellAnchor>
    <xdr:from>
      <xdr:col>18</xdr:col>
      <xdr:colOff>433387</xdr:colOff>
      <xdr:row>13</xdr:row>
      <xdr:rowOff>165555</xdr:rowOff>
    </xdr:from>
    <xdr:ext cx="2228400" cy="264560"/>
    <xdr:sp macro="" textlink="">
      <xdr:nvSpPr>
        <xdr:cNvPr id="23" name="TextBox 22">
          <a:extLst>
            <a:ext uri="{FF2B5EF4-FFF2-40B4-BE49-F238E27FC236}">
              <a16:creationId xmlns:a16="http://schemas.microsoft.com/office/drawing/2014/main" id="{C11C65EA-0DC5-4923-8642-29C34ECCF4DC}"/>
            </a:ext>
          </a:extLst>
        </xdr:cNvPr>
        <xdr:cNvSpPr txBox="1"/>
      </xdr:nvSpPr>
      <xdr:spPr>
        <a:xfrm>
          <a:off x="10948987" y="2537280"/>
          <a:ext cx="2228400" cy="26456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5. Estimated energy use - kWh/ML</a:t>
          </a:r>
          <a:endParaRPr lang="en-AU">
            <a:solidFill>
              <a:schemeClr val="bg1">
                <a:lumMod val="95000"/>
              </a:schemeClr>
            </a:solidFill>
            <a:effectLst/>
          </a:endParaRPr>
        </a:p>
      </xdr:txBody>
    </xdr:sp>
    <xdr:clientData/>
  </xdr:oneCellAnchor>
  <xdr:twoCellAnchor>
    <xdr:from>
      <xdr:col>17</xdr:col>
      <xdr:colOff>152400</xdr:colOff>
      <xdr:row>5</xdr:row>
      <xdr:rowOff>8843</xdr:rowOff>
    </xdr:from>
    <xdr:to>
      <xdr:col>18</xdr:col>
      <xdr:colOff>433387</xdr:colOff>
      <xdr:row>6</xdr:row>
      <xdr:rowOff>114300</xdr:rowOff>
    </xdr:to>
    <xdr:cxnSp macro="">
      <xdr:nvCxnSpPr>
        <xdr:cNvPr id="24" name="Straight Arrow Connector 23">
          <a:extLst>
            <a:ext uri="{FF2B5EF4-FFF2-40B4-BE49-F238E27FC236}">
              <a16:creationId xmlns:a16="http://schemas.microsoft.com/office/drawing/2014/main" id="{7AE48E37-B26B-4A59-99E3-1B68FDBC153E}"/>
            </a:ext>
          </a:extLst>
        </xdr:cNvPr>
        <xdr:cNvCxnSpPr>
          <a:stCxn id="19" idx="1"/>
        </xdr:cNvCxnSpPr>
      </xdr:nvCxnSpPr>
      <xdr:spPr>
        <a:xfrm flipH="1">
          <a:off x="10058400" y="856568"/>
          <a:ext cx="890587" cy="29595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152400</xdr:colOff>
      <xdr:row>7</xdr:row>
      <xdr:rowOff>74385</xdr:rowOff>
    </xdr:from>
    <xdr:to>
      <xdr:col>18</xdr:col>
      <xdr:colOff>433387</xdr:colOff>
      <xdr:row>7</xdr:row>
      <xdr:rowOff>76200</xdr:rowOff>
    </xdr:to>
    <xdr:cxnSp macro="">
      <xdr:nvCxnSpPr>
        <xdr:cNvPr id="25" name="Straight Arrow Connector 24">
          <a:extLst>
            <a:ext uri="{FF2B5EF4-FFF2-40B4-BE49-F238E27FC236}">
              <a16:creationId xmlns:a16="http://schemas.microsoft.com/office/drawing/2014/main" id="{A1869BD3-22D2-4828-90A2-B8EAEA9C8141}"/>
            </a:ext>
          </a:extLst>
        </xdr:cNvPr>
        <xdr:cNvCxnSpPr>
          <a:stCxn id="20" idx="1"/>
        </xdr:cNvCxnSpPr>
      </xdr:nvCxnSpPr>
      <xdr:spPr>
        <a:xfrm flipH="1">
          <a:off x="10058400" y="1303110"/>
          <a:ext cx="890587" cy="181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16</xdr:col>
      <xdr:colOff>371475</xdr:colOff>
      <xdr:row>10</xdr:row>
      <xdr:rowOff>28575</xdr:rowOff>
    </xdr:from>
    <xdr:to>
      <xdr:col>18</xdr:col>
      <xdr:colOff>433387</xdr:colOff>
      <xdr:row>10</xdr:row>
      <xdr:rowOff>35541</xdr:rowOff>
    </xdr:to>
    <xdr:cxnSp macro="">
      <xdr:nvCxnSpPr>
        <xdr:cNvPr id="26" name="Straight Arrow Connector 25">
          <a:extLst>
            <a:ext uri="{FF2B5EF4-FFF2-40B4-BE49-F238E27FC236}">
              <a16:creationId xmlns:a16="http://schemas.microsoft.com/office/drawing/2014/main" id="{538B4508-5125-4EFB-B381-90DB2A8B891B}"/>
            </a:ext>
          </a:extLst>
        </xdr:cNvPr>
        <xdr:cNvCxnSpPr>
          <a:stCxn id="21" idx="1"/>
        </xdr:cNvCxnSpPr>
      </xdr:nvCxnSpPr>
      <xdr:spPr>
        <a:xfrm flipH="1" flipV="1">
          <a:off x="9667875" y="1828800"/>
          <a:ext cx="1281112" cy="6966"/>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16</xdr:col>
      <xdr:colOff>361950</xdr:colOff>
      <xdr:row>10</xdr:row>
      <xdr:rowOff>161925</xdr:rowOff>
    </xdr:from>
    <xdr:to>
      <xdr:col>18</xdr:col>
      <xdr:colOff>433387</xdr:colOff>
      <xdr:row>12</xdr:row>
      <xdr:rowOff>157551</xdr:rowOff>
    </xdr:to>
    <xdr:cxnSp macro="">
      <xdr:nvCxnSpPr>
        <xdr:cNvPr id="27" name="Straight Arrow Connector 26">
          <a:extLst>
            <a:ext uri="{FF2B5EF4-FFF2-40B4-BE49-F238E27FC236}">
              <a16:creationId xmlns:a16="http://schemas.microsoft.com/office/drawing/2014/main" id="{AB3BCC33-6D1B-4114-9E7B-CD4F0BF9ED79}"/>
            </a:ext>
          </a:extLst>
        </xdr:cNvPr>
        <xdr:cNvCxnSpPr>
          <a:stCxn id="22" idx="1"/>
        </xdr:cNvCxnSpPr>
      </xdr:nvCxnSpPr>
      <xdr:spPr>
        <a:xfrm flipH="1" flipV="1">
          <a:off x="9658350" y="1962150"/>
          <a:ext cx="1290637" cy="376626"/>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16</xdr:col>
      <xdr:colOff>514350</xdr:colOff>
      <xdr:row>11</xdr:row>
      <xdr:rowOff>123825</xdr:rowOff>
    </xdr:from>
    <xdr:to>
      <xdr:col>18</xdr:col>
      <xdr:colOff>433387</xdr:colOff>
      <xdr:row>14</xdr:row>
      <xdr:rowOff>107335</xdr:rowOff>
    </xdr:to>
    <xdr:cxnSp macro="">
      <xdr:nvCxnSpPr>
        <xdr:cNvPr id="28" name="Straight Arrow Connector 27">
          <a:extLst>
            <a:ext uri="{FF2B5EF4-FFF2-40B4-BE49-F238E27FC236}">
              <a16:creationId xmlns:a16="http://schemas.microsoft.com/office/drawing/2014/main" id="{783570A5-5E2C-4638-92B0-B0DE1CB8153D}"/>
            </a:ext>
          </a:extLst>
        </xdr:cNvPr>
        <xdr:cNvCxnSpPr>
          <a:stCxn id="23" idx="1"/>
        </xdr:cNvCxnSpPr>
      </xdr:nvCxnSpPr>
      <xdr:spPr>
        <a:xfrm flipH="1" flipV="1">
          <a:off x="9810750" y="2114550"/>
          <a:ext cx="1138237" cy="555010"/>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18</xdr:col>
      <xdr:colOff>433387</xdr:colOff>
      <xdr:row>15</xdr:row>
      <xdr:rowOff>115339</xdr:rowOff>
    </xdr:from>
    <xdr:ext cx="2228400" cy="609013"/>
    <xdr:sp macro="" textlink="">
      <xdr:nvSpPr>
        <xdr:cNvPr id="29" name="TextBox 28">
          <a:extLst>
            <a:ext uri="{FF2B5EF4-FFF2-40B4-BE49-F238E27FC236}">
              <a16:creationId xmlns:a16="http://schemas.microsoft.com/office/drawing/2014/main" id="{D3B2507A-D086-4716-B13F-A2D8337BCA1D}"/>
            </a:ext>
          </a:extLst>
        </xdr:cNvPr>
        <xdr:cNvSpPr txBox="1"/>
      </xdr:nvSpPr>
      <xdr:spPr>
        <a:xfrm>
          <a:off x="10948987" y="2868064"/>
          <a:ext cx="2228400" cy="609013"/>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6. Compare your estimated pumping costs (purple) to a range of other benchmark systems </a:t>
          </a:r>
          <a:endParaRPr lang="en-AU">
            <a:solidFill>
              <a:schemeClr val="bg1">
                <a:lumMod val="95000"/>
              </a:schemeClr>
            </a:solidFill>
            <a:effectLst/>
          </a:endParaRPr>
        </a:p>
      </xdr:txBody>
    </xdr:sp>
    <xdr:clientData/>
  </xdr:oneCellAnchor>
  <xdr:oneCellAnchor>
    <xdr:from>
      <xdr:col>18</xdr:col>
      <xdr:colOff>433387</xdr:colOff>
      <xdr:row>19</xdr:row>
      <xdr:rowOff>28575</xdr:rowOff>
    </xdr:from>
    <xdr:ext cx="2228400" cy="1297919"/>
    <xdr:sp macro="" textlink="">
      <xdr:nvSpPr>
        <xdr:cNvPr id="30" name="TextBox 29">
          <a:extLst>
            <a:ext uri="{FF2B5EF4-FFF2-40B4-BE49-F238E27FC236}">
              <a16:creationId xmlns:a16="http://schemas.microsoft.com/office/drawing/2014/main" id="{2F52800F-227C-42D5-8437-6DFD2E043FCB}"/>
            </a:ext>
          </a:extLst>
        </xdr:cNvPr>
        <xdr:cNvSpPr txBox="1"/>
      </xdr:nvSpPr>
      <xdr:spPr>
        <a:xfrm>
          <a:off x="10948987" y="3543300"/>
          <a:ext cx="2228400" cy="1297919"/>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7. Compare your estimated pumping costs (purple) to other specific benchmark systems,</a:t>
          </a:r>
          <a:r>
            <a:rPr lang="en-AU" sz="1100" baseline="0">
              <a:solidFill>
                <a:schemeClr val="lt1"/>
              </a:solidFill>
              <a:effectLst/>
              <a:latin typeface="+mn-lt"/>
              <a:ea typeface="+mn-ea"/>
              <a:cs typeface="+mn-cs"/>
            </a:rPr>
            <a:t> showing static head (can not be changed) and dynamic head (potential to change to save energy costs)</a:t>
          </a:r>
          <a:endParaRPr lang="en-AU">
            <a:solidFill>
              <a:schemeClr val="bg1">
                <a:lumMod val="95000"/>
              </a:schemeClr>
            </a:solidFill>
            <a:effectLst/>
          </a:endParaRPr>
        </a:p>
      </xdr:txBody>
    </xdr:sp>
    <xdr:clientData/>
  </xdr:oneCellAnchor>
  <xdr:twoCellAnchor>
    <xdr:from>
      <xdr:col>14</xdr:col>
      <xdr:colOff>276225</xdr:colOff>
      <xdr:row>16</xdr:row>
      <xdr:rowOff>180975</xdr:rowOff>
    </xdr:from>
    <xdr:to>
      <xdr:col>18</xdr:col>
      <xdr:colOff>433387</xdr:colOff>
      <xdr:row>17</xdr:row>
      <xdr:rowOff>38846</xdr:rowOff>
    </xdr:to>
    <xdr:cxnSp macro="">
      <xdr:nvCxnSpPr>
        <xdr:cNvPr id="31" name="Straight Arrow Connector 30">
          <a:extLst>
            <a:ext uri="{FF2B5EF4-FFF2-40B4-BE49-F238E27FC236}">
              <a16:creationId xmlns:a16="http://schemas.microsoft.com/office/drawing/2014/main" id="{F795BE71-6D74-4DAF-92F4-A722928D15BC}"/>
            </a:ext>
          </a:extLst>
        </xdr:cNvPr>
        <xdr:cNvCxnSpPr>
          <a:stCxn id="29" idx="1"/>
        </xdr:cNvCxnSpPr>
      </xdr:nvCxnSpPr>
      <xdr:spPr>
        <a:xfrm flipH="1" flipV="1">
          <a:off x="8353425" y="3124200"/>
          <a:ext cx="2595562" cy="48371"/>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6</xdr:col>
      <xdr:colOff>533400</xdr:colOff>
      <xdr:row>22</xdr:row>
      <xdr:rowOff>106035</xdr:rowOff>
    </xdr:from>
    <xdr:to>
      <xdr:col>18</xdr:col>
      <xdr:colOff>433387</xdr:colOff>
      <xdr:row>25</xdr:row>
      <xdr:rowOff>19050</xdr:rowOff>
    </xdr:to>
    <xdr:cxnSp macro="">
      <xdr:nvCxnSpPr>
        <xdr:cNvPr id="32" name="Straight Arrow Connector 31">
          <a:extLst>
            <a:ext uri="{FF2B5EF4-FFF2-40B4-BE49-F238E27FC236}">
              <a16:creationId xmlns:a16="http://schemas.microsoft.com/office/drawing/2014/main" id="{80C6546B-6F11-4811-8BC4-E6F42B0A633C}"/>
            </a:ext>
          </a:extLst>
        </xdr:cNvPr>
        <xdr:cNvCxnSpPr>
          <a:stCxn id="30" idx="1"/>
        </xdr:cNvCxnSpPr>
      </xdr:nvCxnSpPr>
      <xdr:spPr>
        <a:xfrm flipH="1">
          <a:off x="3733800" y="4192260"/>
          <a:ext cx="7215187" cy="48451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xdr:col>
      <xdr:colOff>76199</xdr:colOff>
      <xdr:row>17</xdr:row>
      <xdr:rowOff>9525</xdr:rowOff>
    </xdr:from>
    <xdr:ext cx="2192400" cy="436786"/>
    <xdr:sp macro="" textlink="">
      <xdr:nvSpPr>
        <xdr:cNvPr id="33" name="TextBox 32">
          <a:extLst>
            <a:ext uri="{FF2B5EF4-FFF2-40B4-BE49-F238E27FC236}">
              <a16:creationId xmlns:a16="http://schemas.microsoft.com/office/drawing/2014/main" id="{CB788A42-AE3B-4E7C-9E10-E241BD84A20E}"/>
            </a:ext>
          </a:extLst>
        </xdr:cNvPr>
        <xdr:cNvSpPr txBox="1"/>
      </xdr:nvSpPr>
      <xdr:spPr>
        <a:xfrm>
          <a:off x="228599" y="3143250"/>
          <a:ext cx="2192400" cy="43678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6. Select</a:t>
          </a:r>
          <a:r>
            <a:rPr lang="en-AU" sz="1100" baseline="0">
              <a:solidFill>
                <a:schemeClr val="lt1"/>
              </a:solidFill>
              <a:effectLst/>
              <a:latin typeface="+mn-lt"/>
              <a:ea typeface="+mn-ea"/>
              <a:cs typeface="+mn-cs"/>
            </a:rPr>
            <a:t> water use units </a:t>
          </a:r>
        </a:p>
        <a:p>
          <a:r>
            <a:rPr lang="en-AU" sz="1100" baseline="0">
              <a:solidFill>
                <a:schemeClr val="lt1"/>
              </a:solidFill>
              <a:effectLst/>
              <a:latin typeface="+mn-lt"/>
              <a:ea typeface="+mn-ea"/>
              <a:cs typeface="+mn-cs"/>
            </a:rPr>
            <a:t>(ML or kL)</a:t>
          </a:r>
          <a:endParaRPr lang="en-AU">
            <a:solidFill>
              <a:schemeClr val="bg1">
                <a:lumMod val="95000"/>
              </a:schemeClr>
            </a:solidFill>
            <a:effectLst/>
          </a:endParaRPr>
        </a:p>
      </xdr:txBody>
    </xdr:sp>
    <xdr:clientData/>
  </xdr:oneCellAnchor>
  <xdr:twoCellAnchor>
    <xdr:from>
      <xdr:col>4</xdr:col>
      <xdr:colOff>439799</xdr:colOff>
      <xdr:row>10</xdr:row>
      <xdr:rowOff>104775</xdr:rowOff>
    </xdr:from>
    <xdr:to>
      <xdr:col>12</xdr:col>
      <xdr:colOff>409575</xdr:colOff>
      <xdr:row>18</xdr:row>
      <xdr:rowOff>37418</xdr:rowOff>
    </xdr:to>
    <xdr:cxnSp macro="">
      <xdr:nvCxnSpPr>
        <xdr:cNvPr id="34" name="Straight Arrow Connector 77">
          <a:extLst>
            <a:ext uri="{FF2B5EF4-FFF2-40B4-BE49-F238E27FC236}">
              <a16:creationId xmlns:a16="http://schemas.microsoft.com/office/drawing/2014/main" id="{3CF5B62D-720E-4DC4-9B9C-8F50278755EF}"/>
            </a:ext>
          </a:extLst>
        </xdr:cNvPr>
        <xdr:cNvCxnSpPr>
          <a:stCxn id="33" idx="3"/>
        </xdr:cNvCxnSpPr>
      </xdr:nvCxnSpPr>
      <xdr:spPr>
        <a:xfrm flipV="1">
          <a:off x="2420999" y="1905000"/>
          <a:ext cx="4846576" cy="1456643"/>
        </a:xfrm>
        <a:prstGeom prst="curvedConnector3">
          <a:avLst>
            <a:gd name="adj1" fmla="val 100116"/>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9525</xdr:colOff>
      <xdr:row>2</xdr:row>
      <xdr:rowOff>76198</xdr:rowOff>
    </xdr:from>
    <xdr:ext cx="10325100" cy="6896102"/>
    <xdr:sp macro="" textlink="">
      <xdr:nvSpPr>
        <xdr:cNvPr id="2" name="TextBox 1">
          <a:extLst>
            <a:ext uri="{FF2B5EF4-FFF2-40B4-BE49-F238E27FC236}">
              <a16:creationId xmlns:a16="http://schemas.microsoft.com/office/drawing/2014/main" id="{B06559E4-5422-476D-9304-A09EB1846C21}"/>
            </a:ext>
          </a:extLst>
        </xdr:cNvPr>
        <xdr:cNvSpPr txBox="1"/>
      </xdr:nvSpPr>
      <xdr:spPr>
        <a:xfrm>
          <a:off x="161925" y="352423"/>
          <a:ext cx="10325100" cy="6896102"/>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noAutofit/>
        </a:bodyPr>
        <a:lstStyle/>
        <a:p>
          <a:r>
            <a:rPr lang="en-AU" sz="1100" b="1">
              <a:solidFill>
                <a:schemeClr val="tx2">
                  <a:lumMod val="50000"/>
                </a:schemeClr>
              </a:solidFill>
            </a:rPr>
            <a:t>Data input</a:t>
          </a:r>
        </a:p>
      </xdr:txBody>
    </xdr:sp>
    <xdr:clientData/>
  </xdr:oneCellAnchor>
  <xdr:twoCellAnchor editAs="oneCell">
    <xdr:from>
      <xdr:col>5</xdr:col>
      <xdr:colOff>495301</xdr:colOff>
      <xdr:row>9</xdr:row>
      <xdr:rowOff>57150</xdr:rowOff>
    </xdr:from>
    <xdr:to>
      <xdr:col>17</xdr:col>
      <xdr:colOff>438150</xdr:colOff>
      <xdr:row>32</xdr:row>
      <xdr:rowOff>49566</xdr:rowOff>
    </xdr:to>
    <xdr:pic>
      <xdr:nvPicPr>
        <xdr:cNvPr id="53" name="Picture 52">
          <a:extLst>
            <a:ext uri="{FF2B5EF4-FFF2-40B4-BE49-F238E27FC236}">
              <a16:creationId xmlns:a16="http://schemas.microsoft.com/office/drawing/2014/main" id="{BF2BB2BD-F903-4961-9537-896C7E8D9A4E}"/>
            </a:ext>
          </a:extLst>
        </xdr:cNvPr>
        <xdr:cNvPicPr>
          <a:picLocks noChangeAspect="1"/>
        </xdr:cNvPicPr>
      </xdr:nvPicPr>
      <xdr:blipFill>
        <a:blip xmlns:r="http://schemas.openxmlformats.org/officeDocument/2006/relationships" r:embed="rId1"/>
        <a:stretch>
          <a:fillRect/>
        </a:stretch>
      </xdr:blipFill>
      <xdr:spPr>
        <a:xfrm>
          <a:off x="3086101" y="1666875"/>
          <a:ext cx="7258049" cy="4373916"/>
        </a:xfrm>
        <a:prstGeom prst="rect">
          <a:avLst/>
        </a:prstGeom>
      </xdr:spPr>
    </xdr:pic>
    <xdr:clientData/>
  </xdr:twoCellAnchor>
  <xdr:twoCellAnchor>
    <xdr:from>
      <xdr:col>4</xdr:col>
      <xdr:colOff>574310</xdr:colOff>
      <xdr:row>9</xdr:row>
      <xdr:rowOff>32513</xdr:rowOff>
    </xdr:from>
    <xdr:to>
      <xdr:col>5</xdr:col>
      <xdr:colOff>394607</xdr:colOff>
      <xdr:row>12</xdr:row>
      <xdr:rowOff>23813</xdr:rowOff>
    </xdr:to>
    <xdr:cxnSp macro="">
      <xdr:nvCxnSpPr>
        <xdr:cNvPr id="4" name="Straight Arrow Connector 3">
          <a:extLst>
            <a:ext uri="{FF2B5EF4-FFF2-40B4-BE49-F238E27FC236}">
              <a16:creationId xmlns:a16="http://schemas.microsoft.com/office/drawing/2014/main" id="{B047822D-6A3E-4177-9ECE-4F2E91F90AA3}"/>
            </a:ext>
          </a:extLst>
        </xdr:cNvPr>
        <xdr:cNvCxnSpPr>
          <a:stCxn id="9" idx="3"/>
          <a:endCxn id="11" idx="1"/>
        </xdr:cNvCxnSpPr>
      </xdr:nvCxnSpPr>
      <xdr:spPr>
        <a:xfrm>
          <a:off x="2555510" y="1642238"/>
          <a:ext cx="429897" cy="5628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593360</xdr:colOff>
      <xdr:row>15</xdr:row>
      <xdr:rowOff>158203</xdr:rowOff>
    </xdr:from>
    <xdr:to>
      <xdr:col>5</xdr:col>
      <xdr:colOff>400051</xdr:colOff>
      <xdr:row>17</xdr:row>
      <xdr:rowOff>149639</xdr:rowOff>
    </xdr:to>
    <xdr:cxnSp macro="">
      <xdr:nvCxnSpPr>
        <xdr:cNvPr id="5" name="Straight Arrow Connector 4">
          <a:extLst>
            <a:ext uri="{FF2B5EF4-FFF2-40B4-BE49-F238E27FC236}">
              <a16:creationId xmlns:a16="http://schemas.microsoft.com/office/drawing/2014/main" id="{CF4EA09B-5CE8-4684-BCEA-45DDB003A622}"/>
            </a:ext>
          </a:extLst>
        </xdr:cNvPr>
        <xdr:cNvCxnSpPr>
          <a:stCxn id="15" idx="3"/>
          <a:endCxn id="12" idx="1"/>
        </xdr:cNvCxnSpPr>
      </xdr:nvCxnSpPr>
      <xdr:spPr>
        <a:xfrm flipV="1">
          <a:off x="2574560" y="2910928"/>
          <a:ext cx="416291" cy="3724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574310</xdr:colOff>
      <xdr:row>14</xdr:row>
      <xdr:rowOff>4422</xdr:rowOff>
    </xdr:from>
    <xdr:to>
      <xdr:col>5</xdr:col>
      <xdr:colOff>504825</xdr:colOff>
      <xdr:row>14</xdr:row>
      <xdr:rowOff>9525</xdr:rowOff>
    </xdr:to>
    <xdr:cxnSp macro="">
      <xdr:nvCxnSpPr>
        <xdr:cNvPr id="6" name="Straight Arrow Connector 5">
          <a:extLst>
            <a:ext uri="{FF2B5EF4-FFF2-40B4-BE49-F238E27FC236}">
              <a16:creationId xmlns:a16="http://schemas.microsoft.com/office/drawing/2014/main" id="{684AAFD4-E08A-4DAD-B1C8-25A44E325A38}"/>
            </a:ext>
          </a:extLst>
        </xdr:cNvPr>
        <xdr:cNvCxnSpPr>
          <a:cxnSpLocks/>
          <a:stCxn id="17" idx="3"/>
        </xdr:cNvCxnSpPr>
      </xdr:nvCxnSpPr>
      <xdr:spPr>
        <a:xfrm>
          <a:off x="2555510" y="2566647"/>
          <a:ext cx="540115" cy="510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602885</xdr:colOff>
      <xdr:row>17</xdr:row>
      <xdr:rowOff>9525</xdr:rowOff>
    </xdr:from>
    <xdr:to>
      <xdr:col>5</xdr:col>
      <xdr:colOff>447675</xdr:colOff>
      <xdr:row>22</xdr:row>
      <xdr:rowOff>43951</xdr:rowOff>
    </xdr:to>
    <xdr:cxnSp macro="">
      <xdr:nvCxnSpPr>
        <xdr:cNvPr id="7" name="Straight Arrow Connector 6">
          <a:extLst>
            <a:ext uri="{FF2B5EF4-FFF2-40B4-BE49-F238E27FC236}">
              <a16:creationId xmlns:a16="http://schemas.microsoft.com/office/drawing/2014/main" id="{07265D3A-A263-47E0-9141-AB9DFF2D4324}"/>
            </a:ext>
          </a:extLst>
        </xdr:cNvPr>
        <xdr:cNvCxnSpPr>
          <a:cxnSpLocks/>
          <a:stCxn id="13" idx="3"/>
        </xdr:cNvCxnSpPr>
      </xdr:nvCxnSpPr>
      <xdr:spPr>
        <a:xfrm flipV="1">
          <a:off x="2584085" y="3143250"/>
          <a:ext cx="454390" cy="9869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28112</xdr:colOff>
      <xdr:row>5</xdr:row>
      <xdr:rowOff>160275</xdr:rowOff>
    </xdr:from>
    <xdr:to>
      <xdr:col>4</xdr:col>
      <xdr:colOff>574310</xdr:colOff>
      <xdr:row>12</xdr:row>
      <xdr:rowOff>95250</xdr:rowOff>
    </xdr:to>
    <xdr:grpSp>
      <xdr:nvGrpSpPr>
        <xdr:cNvPr id="8" name="Group 7">
          <a:extLst>
            <a:ext uri="{FF2B5EF4-FFF2-40B4-BE49-F238E27FC236}">
              <a16:creationId xmlns:a16="http://schemas.microsoft.com/office/drawing/2014/main" id="{44C817B4-6E0A-4D8D-BD60-37E193A98413}"/>
            </a:ext>
          </a:extLst>
        </xdr:cNvPr>
        <xdr:cNvGrpSpPr/>
      </xdr:nvGrpSpPr>
      <xdr:grpSpPr>
        <a:xfrm>
          <a:off x="180512" y="1008000"/>
          <a:ext cx="2374998" cy="1268475"/>
          <a:chOff x="209550" y="657225"/>
          <a:chExt cx="2190751" cy="1265800"/>
        </a:xfrm>
      </xdr:grpSpPr>
      <xdr:sp macro="" textlink="">
        <xdr:nvSpPr>
          <xdr:cNvPr id="9" name="TextBox 8">
            <a:extLst>
              <a:ext uri="{FF2B5EF4-FFF2-40B4-BE49-F238E27FC236}">
                <a16:creationId xmlns:a16="http://schemas.microsoft.com/office/drawing/2014/main" id="{DE04D64D-0520-45C7-BD14-C5751476F036}"/>
              </a:ext>
            </a:extLst>
          </xdr:cNvPr>
          <xdr:cNvSpPr txBox="1"/>
        </xdr:nvSpPr>
        <xdr:spPr>
          <a:xfrm>
            <a:off x="209550" y="657225"/>
            <a:ext cx="2190751" cy="1265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2.</a:t>
            </a:r>
            <a:r>
              <a:rPr lang="en-AU" sz="1000" baseline="0">
                <a:solidFill>
                  <a:schemeClr val="bg1">
                    <a:lumMod val="95000"/>
                  </a:schemeClr>
                </a:solidFill>
                <a:effectLst/>
                <a:latin typeface="+mn-lt"/>
                <a:ea typeface="+mn-ea"/>
                <a:cs typeface="+mn-cs"/>
              </a:rPr>
              <a:t> Enter energy use data at the start and end of the observation period, and the number of minutes of observation.</a:t>
            </a:r>
          </a:p>
          <a:p>
            <a:r>
              <a:rPr lang="en-AU" sz="1000" baseline="0">
                <a:solidFill>
                  <a:schemeClr val="bg1">
                    <a:lumMod val="95000"/>
                  </a:schemeClr>
                </a:solidFill>
                <a:effectLst/>
                <a:latin typeface="+mn-lt"/>
                <a:ea typeface="+mn-ea"/>
                <a:cs typeface="+mn-cs"/>
              </a:rPr>
              <a:t>K value is a multiplication factor found in the meter box for electric systems</a:t>
            </a:r>
          </a:p>
        </xdr:txBody>
      </xdr:sp>
      <xdr:sp macro="" textlink="">
        <xdr:nvSpPr>
          <xdr:cNvPr id="10" name="TextBox 9">
            <a:extLst>
              <a:ext uri="{FF2B5EF4-FFF2-40B4-BE49-F238E27FC236}">
                <a16:creationId xmlns:a16="http://schemas.microsoft.com/office/drawing/2014/main" id="{9A9B07D5-EC09-4D6A-95B7-724112D043FC}"/>
              </a:ext>
            </a:extLst>
          </xdr:cNvPr>
          <xdr:cNvSpPr txBox="1"/>
        </xdr:nvSpPr>
        <xdr:spPr>
          <a:xfrm>
            <a:off x="277045" y="1637376"/>
            <a:ext cx="1962150" cy="190499"/>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r>
              <a:rPr lang="en-AU" sz="900" baseline="0">
                <a:solidFill>
                  <a:srgbClr val="FF0000"/>
                </a:solidFill>
                <a:effectLst/>
                <a:latin typeface="+mn-lt"/>
                <a:ea typeface="+mn-ea"/>
                <a:cs typeface="+mn-cs"/>
              </a:rPr>
              <a:t>Output: energy use (kW) is calculated</a:t>
            </a:r>
            <a:endParaRPr lang="en-AU" sz="900">
              <a:solidFill>
                <a:srgbClr val="FF0000"/>
              </a:solidFill>
              <a:effectLst/>
            </a:endParaRPr>
          </a:p>
        </xdr:txBody>
      </xdr:sp>
    </xdr:grpSp>
    <xdr:clientData/>
  </xdr:twoCellAnchor>
  <xdr:twoCellAnchor>
    <xdr:from>
      <xdr:col>5</xdr:col>
      <xdr:colOff>394607</xdr:colOff>
      <xdr:row>11</xdr:row>
      <xdr:rowOff>0</xdr:rowOff>
    </xdr:from>
    <xdr:to>
      <xdr:col>5</xdr:col>
      <xdr:colOff>514350</xdr:colOff>
      <xdr:row>13</xdr:row>
      <xdr:rowOff>47625</xdr:rowOff>
    </xdr:to>
    <xdr:sp macro="" textlink="">
      <xdr:nvSpPr>
        <xdr:cNvPr id="11" name="Left Brace 10">
          <a:extLst>
            <a:ext uri="{FF2B5EF4-FFF2-40B4-BE49-F238E27FC236}">
              <a16:creationId xmlns:a16="http://schemas.microsoft.com/office/drawing/2014/main" id="{93AB8F45-E6AF-4926-A305-0315654E2141}"/>
            </a:ext>
          </a:extLst>
        </xdr:cNvPr>
        <xdr:cNvSpPr/>
      </xdr:nvSpPr>
      <xdr:spPr>
        <a:xfrm>
          <a:off x="2985407" y="1990725"/>
          <a:ext cx="119743" cy="428625"/>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5</xdr:col>
      <xdr:colOff>400051</xdr:colOff>
      <xdr:row>14</xdr:row>
      <xdr:rowOff>185658</xdr:rowOff>
    </xdr:from>
    <xdr:to>
      <xdr:col>5</xdr:col>
      <xdr:colOff>514351</xdr:colOff>
      <xdr:row>16</xdr:row>
      <xdr:rowOff>130747</xdr:rowOff>
    </xdr:to>
    <xdr:sp macro="" textlink="">
      <xdr:nvSpPr>
        <xdr:cNvPr id="12" name="Left Brace 11">
          <a:extLst>
            <a:ext uri="{FF2B5EF4-FFF2-40B4-BE49-F238E27FC236}">
              <a16:creationId xmlns:a16="http://schemas.microsoft.com/office/drawing/2014/main" id="{E0699602-0D47-4002-9BE6-ED584B0A675E}"/>
            </a:ext>
          </a:extLst>
        </xdr:cNvPr>
        <xdr:cNvSpPr/>
      </xdr:nvSpPr>
      <xdr:spPr>
        <a:xfrm>
          <a:off x="2990851" y="2747883"/>
          <a:ext cx="114300" cy="326089"/>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1</xdr:col>
      <xdr:colOff>56687</xdr:colOff>
      <xdr:row>20</xdr:row>
      <xdr:rowOff>52352</xdr:rowOff>
    </xdr:from>
    <xdr:to>
      <xdr:col>4</xdr:col>
      <xdr:colOff>602885</xdr:colOff>
      <xdr:row>24</xdr:row>
      <xdr:rowOff>35549</xdr:rowOff>
    </xdr:to>
    <xdr:sp macro="" textlink="">
      <xdr:nvSpPr>
        <xdr:cNvPr id="13" name="TextBox 12">
          <a:extLst>
            <a:ext uri="{FF2B5EF4-FFF2-40B4-BE49-F238E27FC236}">
              <a16:creationId xmlns:a16="http://schemas.microsoft.com/office/drawing/2014/main" id="{B024D123-B8CB-4070-B67F-56605A3E5F8F}"/>
            </a:ext>
          </a:extLst>
        </xdr:cNvPr>
        <xdr:cNvSpPr txBox="1"/>
      </xdr:nvSpPr>
      <xdr:spPr>
        <a:xfrm>
          <a:off x="209087" y="3757577"/>
          <a:ext cx="2374998" cy="74519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5. If</a:t>
          </a:r>
          <a:r>
            <a:rPr lang="en-AU" sz="1000" baseline="0">
              <a:solidFill>
                <a:schemeClr val="lt1"/>
              </a:solidFill>
              <a:effectLst/>
              <a:latin typeface="+mn-lt"/>
              <a:ea typeface="+mn-ea"/>
              <a:cs typeface="+mn-cs"/>
            </a:rPr>
            <a:t> you can directly measure the flow rate, you can put it in this box. Otherwise, leave the box blank to use the flow rate calculated from water consumption measurements.</a:t>
          </a:r>
          <a:endParaRPr lang="en-AU" sz="1000">
            <a:solidFill>
              <a:schemeClr val="bg1">
                <a:lumMod val="95000"/>
              </a:schemeClr>
            </a:solidFill>
            <a:effectLst/>
          </a:endParaRPr>
        </a:p>
      </xdr:txBody>
    </xdr:sp>
    <xdr:clientData/>
  </xdr:twoCellAnchor>
  <xdr:twoCellAnchor>
    <xdr:from>
      <xdr:col>1</xdr:col>
      <xdr:colOff>47162</xdr:colOff>
      <xdr:row>15</xdr:row>
      <xdr:rowOff>96217</xdr:rowOff>
    </xdr:from>
    <xdr:to>
      <xdr:col>4</xdr:col>
      <xdr:colOff>593360</xdr:colOff>
      <xdr:row>20</xdr:row>
      <xdr:rowOff>12560</xdr:rowOff>
    </xdr:to>
    <xdr:grpSp>
      <xdr:nvGrpSpPr>
        <xdr:cNvPr id="14" name="Group 13">
          <a:extLst>
            <a:ext uri="{FF2B5EF4-FFF2-40B4-BE49-F238E27FC236}">
              <a16:creationId xmlns:a16="http://schemas.microsoft.com/office/drawing/2014/main" id="{72B388B6-B2D7-4BBA-8E8E-0FA46B2BCAE4}"/>
            </a:ext>
          </a:extLst>
        </xdr:cNvPr>
        <xdr:cNvGrpSpPr/>
      </xdr:nvGrpSpPr>
      <xdr:grpSpPr>
        <a:xfrm>
          <a:off x="199562" y="2848942"/>
          <a:ext cx="2374998" cy="868843"/>
          <a:chOff x="208552" y="2763655"/>
          <a:chExt cx="2376000" cy="827430"/>
        </a:xfrm>
      </xdr:grpSpPr>
      <xdr:sp macro="" textlink="">
        <xdr:nvSpPr>
          <xdr:cNvPr id="15" name="TextBox 14">
            <a:extLst>
              <a:ext uri="{FF2B5EF4-FFF2-40B4-BE49-F238E27FC236}">
                <a16:creationId xmlns:a16="http://schemas.microsoft.com/office/drawing/2014/main" id="{4321A22B-898D-419E-BF8C-1C40FE963CA5}"/>
              </a:ext>
            </a:extLst>
          </xdr:cNvPr>
          <xdr:cNvSpPr txBox="1"/>
        </xdr:nvSpPr>
        <xdr:spPr>
          <a:xfrm>
            <a:off x="208552" y="2763655"/>
            <a:ext cx="2376000" cy="8274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4. </a:t>
            </a:r>
            <a:r>
              <a:rPr lang="en-AU" sz="1000" baseline="0">
                <a:solidFill>
                  <a:schemeClr val="lt1"/>
                </a:solidFill>
                <a:effectLst/>
                <a:latin typeface="+mn-lt"/>
                <a:ea typeface="+mn-ea"/>
                <a:cs typeface="+mn-cs"/>
              </a:rPr>
              <a:t>Enter water use data at the start and end of the observation period, and the number of minutes of observation.</a:t>
            </a:r>
            <a:endParaRPr lang="en-AU" sz="1000">
              <a:solidFill>
                <a:schemeClr val="bg1">
                  <a:lumMod val="95000"/>
                </a:schemeClr>
              </a:solidFill>
              <a:effectLst/>
            </a:endParaRPr>
          </a:p>
        </xdr:txBody>
      </xdr:sp>
      <xdr:sp macro="" textlink="">
        <xdr:nvSpPr>
          <xdr:cNvPr id="16" name="TextBox 15">
            <a:extLst>
              <a:ext uri="{FF2B5EF4-FFF2-40B4-BE49-F238E27FC236}">
                <a16:creationId xmlns:a16="http://schemas.microsoft.com/office/drawing/2014/main" id="{638135D1-DFF5-45FA-ABA6-1F8E87A773A4}"/>
              </a:ext>
            </a:extLst>
          </xdr:cNvPr>
          <xdr:cNvSpPr txBox="1"/>
        </xdr:nvSpPr>
        <xdr:spPr>
          <a:xfrm>
            <a:off x="316014" y="3274529"/>
            <a:ext cx="2130614" cy="200587"/>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r>
              <a:rPr lang="en-AU" sz="900" baseline="0">
                <a:solidFill>
                  <a:srgbClr val="FF0000"/>
                </a:solidFill>
                <a:effectLst/>
                <a:latin typeface="+mn-lt"/>
                <a:ea typeface="+mn-ea"/>
                <a:cs typeface="+mn-cs"/>
              </a:rPr>
              <a:t>Output: flow rate (ML/day)</a:t>
            </a:r>
            <a:endParaRPr lang="en-AU" sz="900">
              <a:solidFill>
                <a:srgbClr val="FF0000"/>
              </a:solidFill>
              <a:effectLst/>
            </a:endParaRPr>
          </a:p>
        </xdr:txBody>
      </xdr:sp>
    </xdr:grpSp>
    <xdr:clientData/>
  </xdr:twoCellAnchor>
  <xdr:twoCellAnchor>
    <xdr:from>
      <xdr:col>1</xdr:col>
      <xdr:colOff>28112</xdr:colOff>
      <xdr:row>12</xdr:row>
      <xdr:rowOff>181018</xdr:rowOff>
    </xdr:from>
    <xdr:to>
      <xdr:col>4</xdr:col>
      <xdr:colOff>574310</xdr:colOff>
      <xdr:row>15</xdr:row>
      <xdr:rowOff>18325</xdr:rowOff>
    </xdr:to>
    <xdr:sp macro="" textlink="">
      <xdr:nvSpPr>
        <xdr:cNvPr id="17" name="TextBox 16">
          <a:extLst>
            <a:ext uri="{FF2B5EF4-FFF2-40B4-BE49-F238E27FC236}">
              <a16:creationId xmlns:a16="http://schemas.microsoft.com/office/drawing/2014/main" id="{295DBE2E-7878-47F1-8DDC-09068EB01DDB}"/>
            </a:ext>
          </a:extLst>
        </xdr:cNvPr>
        <xdr:cNvSpPr txBox="1"/>
      </xdr:nvSpPr>
      <xdr:spPr>
        <a:xfrm>
          <a:off x="180512" y="2362243"/>
          <a:ext cx="2374998" cy="40880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3. E</a:t>
          </a:r>
          <a:r>
            <a:rPr lang="en-AU" sz="1000" baseline="0">
              <a:solidFill>
                <a:schemeClr val="lt1"/>
              </a:solidFill>
              <a:effectLst/>
              <a:latin typeface="+mn-lt"/>
              <a:ea typeface="+mn-ea"/>
              <a:cs typeface="+mn-cs"/>
            </a:rPr>
            <a:t>nter your energy unit cost in the blue box. You can copy this from Step 1.</a:t>
          </a:r>
          <a:endParaRPr lang="en-AU" sz="1000">
            <a:solidFill>
              <a:schemeClr val="bg1">
                <a:lumMod val="95000"/>
              </a:schemeClr>
            </a:solidFill>
            <a:effectLst/>
          </a:endParaRPr>
        </a:p>
      </xdr:txBody>
    </xdr:sp>
    <xdr:clientData/>
  </xdr:twoCellAnchor>
  <xdr:twoCellAnchor>
    <xdr:from>
      <xdr:col>1</xdr:col>
      <xdr:colOff>66212</xdr:colOff>
      <xdr:row>24</xdr:row>
      <xdr:rowOff>65816</xdr:rowOff>
    </xdr:from>
    <xdr:to>
      <xdr:col>5</xdr:col>
      <xdr:colOff>2810</xdr:colOff>
      <xdr:row>26</xdr:row>
      <xdr:rowOff>93272</xdr:rowOff>
    </xdr:to>
    <xdr:sp macro="" textlink="">
      <xdr:nvSpPr>
        <xdr:cNvPr id="18" name="TextBox 17">
          <a:extLst>
            <a:ext uri="{FF2B5EF4-FFF2-40B4-BE49-F238E27FC236}">
              <a16:creationId xmlns:a16="http://schemas.microsoft.com/office/drawing/2014/main" id="{AAF951D8-CE45-4323-910F-A7CBDF757BA5}"/>
            </a:ext>
          </a:extLst>
        </xdr:cNvPr>
        <xdr:cNvSpPr txBox="1"/>
      </xdr:nvSpPr>
      <xdr:spPr>
        <a:xfrm>
          <a:off x="218612" y="4533041"/>
          <a:ext cx="2374998" cy="40845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6. E</a:t>
          </a:r>
          <a:r>
            <a:rPr lang="en-AU" sz="1000" baseline="0">
              <a:solidFill>
                <a:schemeClr val="lt1"/>
              </a:solidFill>
              <a:effectLst/>
              <a:latin typeface="+mn-lt"/>
              <a:ea typeface="+mn-ea"/>
              <a:cs typeface="+mn-cs"/>
            </a:rPr>
            <a:t>nter your annual water use (per hectare) in the blue box</a:t>
          </a:r>
          <a:endParaRPr lang="en-AU" sz="1000">
            <a:solidFill>
              <a:schemeClr val="bg1">
                <a:lumMod val="95000"/>
              </a:schemeClr>
            </a:solidFill>
            <a:effectLst/>
          </a:endParaRPr>
        </a:p>
      </xdr:txBody>
    </xdr:sp>
    <xdr:clientData/>
  </xdr:twoCellAnchor>
  <xdr:twoCellAnchor>
    <xdr:from>
      <xdr:col>5</xdr:col>
      <xdr:colOff>2810</xdr:colOff>
      <xdr:row>17</xdr:row>
      <xdr:rowOff>123825</xdr:rowOff>
    </xdr:from>
    <xdr:to>
      <xdr:col>5</xdr:col>
      <xdr:colOff>457200</xdr:colOff>
      <xdr:row>25</xdr:row>
      <xdr:rowOff>79544</xdr:rowOff>
    </xdr:to>
    <xdr:cxnSp macro="">
      <xdr:nvCxnSpPr>
        <xdr:cNvPr id="19" name="Straight Arrow Connector 18">
          <a:extLst>
            <a:ext uri="{FF2B5EF4-FFF2-40B4-BE49-F238E27FC236}">
              <a16:creationId xmlns:a16="http://schemas.microsoft.com/office/drawing/2014/main" id="{5001823C-50EE-42DF-B725-E77CE6E225EA}"/>
            </a:ext>
          </a:extLst>
        </xdr:cNvPr>
        <xdr:cNvCxnSpPr>
          <a:stCxn id="18" idx="3"/>
        </xdr:cNvCxnSpPr>
      </xdr:nvCxnSpPr>
      <xdr:spPr>
        <a:xfrm flipV="1">
          <a:off x="2593610" y="3257550"/>
          <a:ext cx="454390" cy="14797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132887</xdr:colOff>
      <xdr:row>32</xdr:row>
      <xdr:rowOff>158405</xdr:rowOff>
    </xdr:from>
    <xdr:to>
      <xdr:col>9</xdr:col>
      <xdr:colOff>69485</xdr:colOff>
      <xdr:row>37</xdr:row>
      <xdr:rowOff>158405</xdr:rowOff>
    </xdr:to>
    <xdr:grpSp>
      <xdr:nvGrpSpPr>
        <xdr:cNvPr id="20" name="Group 19">
          <a:extLst>
            <a:ext uri="{FF2B5EF4-FFF2-40B4-BE49-F238E27FC236}">
              <a16:creationId xmlns:a16="http://schemas.microsoft.com/office/drawing/2014/main" id="{DB8673EF-24CB-4E5C-88EA-AF7F3FE0BF2C}"/>
            </a:ext>
          </a:extLst>
        </xdr:cNvPr>
        <xdr:cNvGrpSpPr/>
      </xdr:nvGrpSpPr>
      <xdr:grpSpPr>
        <a:xfrm>
          <a:off x="2723687" y="6149630"/>
          <a:ext cx="2374998" cy="952500"/>
          <a:chOff x="2595553" y="4823649"/>
          <a:chExt cx="2219325" cy="962026"/>
        </a:xfrm>
      </xdr:grpSpPr>
      <xdr:sp macro="" textlink="">
        <xdr:nvSpPr>
          <xdr:cNvPr id="21" name="TextBox 20">
            <a:extLst>
              <a:ext uri="{FF2B5EF4-FFF2-40B4-BE49-F238E27FC236}">
                <a16:creationId xmlns:a16="http://schemas.microsoft.com/office/drawing/2014/main" id="{435E98B9-09CF-42A3-864A-CE4FA3EEE952}"/>
              </a:ext>
            </a:extLst>
          </xdr:cNvPr>
          <xdr:cNvSpPr txBox="1"/>
        </xdr:nvSpPr>
        <xdr:spPr>
          <a:xfrm>
            <a:off x="2595553" y="4823649"/>
            <a:ext cx="2219325" cy="96202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9. Input motor size</a:t>
            </a:r>
            <a:r>
              <a:rPr lang="en-AU" sz="1000" baseline="0">
                <a:solidFill>
                  <a:schemeClr val="lt1"/>
                </a:solidFill>
                <a:effectLst/>
                <a:latin typeface="+mn-lt"/>
                <a:ea typeface="+mn-ea"/>
                <a:cs typeface="+mn-cs"/>
              </a:rPr>
              <a:t> from name plate (kW)</a:t>
            </a:r>
          </a:p>
          <a:p>
            <a:pPr marL="0" marR="0" lvl="0" indent="0" defTabSz="914400" eaLnBrk="1" fontAlgn="auto" latinLnBrk="0" hangingPunct="1">
              <a:lnSpc>
                <a:spcPct val="100000"/>
              </a:lnSpc>
              <a:spcBef>
                <a:spcPts val="0"/>
              </a:spcBef>
              <a:spcAft>
                <a:spcPts val="0"/>
              </a:spcAft>
              <a:buClrTx/>
              <a:buSzTx/>
              <a:buFontTx/>
              <a:buNone/>
              <a:tabLst/>
              <a:defRPr/>
            </a:pPr>
            <a:r>
              <a:rPr lang="en-AU" sz="1000" baseline="0">
                <a:solidFill>
                  <a:schemeClr val="lt1"/>
                </a:solidFill>
                <a:effectLst/>
                <a:latin typeface="+mn-lt"/>
                <a:ea typeface="+mn-ea"/>
                <a:cs typeface="+mn-cs"/>
              </a:rPr>
              <a:t>10. </a:t>
            </a:r>
            <a:r>
              <a:rPr lang="en-AU" sz="1000">
                <a:solidFill>
                  <a:schemeClr val="lt1"/>
                </a:solidFill>
                <a:effectLst/>
                <a:latin typeface="+mn-lt"/>
                <a:ea typeface="+mn-ea"/>
                <a:cs typeface="+mn-cs"/>
              </a:rPr>
              <a:t>Input motor efficiency</a:t>
            </a:r>
            <a:r>
              <a:rPr lang="en-AU" sz="1000" baseline="0">
                <a:solidFill>
                  <a:schemeClr val="lt1"/>
                </a:solidFill>
                <a:effectLst/>
                <a:latin typeface="+mn-lt"/>
                <a:ea typeface="+mn-ea"/>
                <a:cs typeface="+mn-cs"/>
              </a:rPr>
              <a:t> from name plate or specifications (%)</a:t>
            </a:r>
          </a:p>
          <a:p>
            <a:pPr marL="0" marR="0" lvl="0" indent="0" defTabSz="914400" eaLnBrk="1" fontAlgn="auto" latinLnBrk="0" hangingPunct="1">
              <a:lnSpc>
                <a:spcPct val="100000"/>
              </a:lnSpc>
              <a:spcBef>
                <a:spcPts val="0"/>
              </a:spcBef>
              <a:spcAft>
                <a:spcPts val="0"/>
              </a:spcAft>
              <a:buClrTx/>
              <a:buSzTx/>
              <a:buFontTx/>
              <a:buNone/>
              <a:tabLst/>
              <a:defRPr/>
            </a:pPr>
            <a:endParaRPr lang="en-AU" sz="1000">
              <a:effectLst/>
            </a:endParaRPr>
          </a:p>
          <a:p>
            <a:endParaRPr lang="en-AU" sz="1000" baseline="0">
              <a:solidFill>
                <a:schemeClr val="lt1"/>
              </a:solidFill>
              <a:effectLst/>
              <a:latin typeface="+mn-lt"/>
              <a:ea typeface="+mn-ea"/>
              <a:cs typeface="+mn-cs"/>
            </a:endParaRPr>
          </a:p>
        </xdr:txBody>
      </xdr:sp>
      <xdr:sp macro="" textlink="">
        <xdr:nvSpPr>
          <xdr:cNvPr id="22" name="TextBox 21">
            <a:extLst>
              <a:ext uri="{FF2B5EF4-FFF2-40B4-BE49-F238E27FC236}">
                <a16:creationId xmlns:a16="http://schemas.microsoft.com/office/drawing/2014/main" id="{8608C620-E39F-4464-991C-6FFBCC1ED310}"/>
              </a:ext>
            </a:extLst>
          </xdr:cNvPr>
          <xdr:cNvSpPr txBox="1"/>
        </xdr:nvSpPr>
        <xdr:spPr>
          <a:xfrm>
            <a:off x="2687525" y="5405150"/>
            <a:ext cx="1924050" cy="304800"/>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0" rIns="36000" bIns="0" rtlCol="0" anchor="ctr">
            <a:noAutofit/>
          </a:bodyPr>
          <a:lstStyle/>
          <a:p>
            <a:r>
              <a:rPr lang="en-AU" sz="900" baseline="0">
                <a:solidFill>
                  <a:srgbClr val="FF0000"/>
                </a:solidFill>
                <a:effectLst/>
                <a:latin typeface="+mn-lt"/>
                <a:ea typeface="+mn-ea"/>
                <a:cs typeface="+mn-cs"/>
              </a:rPr>
              <a:t>Output: Motor load is calculated from energy use and motor size (%)</a:t>
            </a:r>
            <a:endParaRPr lang="en-AU" sz="900">
              <a:solidFill>
                <a:srgbClr val="FF0000"/>
              </a:solidFill>
              <a:effectLst/>
            </a:endParaRPr>
          </a:p>
        </xdr:txBody>
      </xdr:sp>
    </xdr:grpSp>
    <xdr:clientData/>
  </xdr:twoCellAnchor>
  <xdr:twoCellAnchor>
    <xdr:from>
      <xdr:col>5</xdr:col>
      <xdr:colOff>409576</xdr:colOff>
      <xdr:row>18</xdr:row>
      <xdr:rowOff>110810</xdr:rowOff>
    </xdr:from>
    <xdr:to>
      <xdr:col>5</xdr:col>
      <xdr:colOff>533401</xdr:colOff>
      <xdr:row>20</xdr:row>
      <xdr:rowOff>70580</xdr:rowOff>
    </xdr:to>
    <xdr:sp macro="" textlink="">
      <xdr:nvSpPr>
        <xdr:cNvPr id="23" name="Left Brace 22">
          <a:extLst>
            <a:ext uri="{FF2B5EF4-FFF2-40B4-BE49-F238E27FC236}">
              <a16:creationId xmlns:a16="http://schemas.microsoft.com/office/drawing/2014/main" id="{B852A11A-DC99-4928-8357-32D1285B1ECA}"/>
            </a:ext>
          </a:extLst>
        </xdr:cNvPr>
        <xdr:cNvSpPr/>
      </xdr:nvSpPr>
      <xdr:spPr>
        <a:xfrm>
          <a:off x="3000376" y="3435035"/>
          <a:ext cx="123825" cy="340770"/>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6</xdr:col>
      <xdr:colOff>409576</xdr:colOff>
      <xdr:row>22</xdr:row>
      <xdr:rowOff>23613</xdr:rowOff>
    </xdr:from>
    <xdr:to>
      <xdr:col>6</xdr:col>
      <xdr:colOff>542925</xdr:colOff>
      <xdr:row>23</xdr:row>
      <xdr:rowOff>183045</xdr:rowOff>
    </xdr:to>
    <xdr:sp macro="" textlink="">
      <xdr:nvSpPr>
        <xdr:cNvPr id="24" name="Left Brace 23">
          <a:extLst>
            <a:ext uri="{FF2B5EF4-FFF2-40B4-BE49-F238E27FC236}">
              <a16:creationId xmlns:a16="http://schemas.microsoft.com/office/drawing/2014/main" id="{8695E9DE-7321-4AD5-93E0-24E71031B251}"/>
            </a:ext>
          </a:extLst>
        </xdr:cNvPr>
        <xdr:cNvSpPr/>
      </xdr:nvSpPr>
      <xdr:spPr>
        <a:xfrm>
          <a:off x="3609976" y="4109838"/>
          <a:ext cx="133349" cy="349932"/>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6</xdr:col>
      <xdr:colOff>409576</xdr:colOff>
      <xdr:row>23</xdr:row>
      <xdr:rowOff>8079</xdr:rowOff>
    </xdr:from>
    <xdr:to>
      <xdr:col>7</xdr:col>
      <xdr:colOff>101186</xdr:colOff>
      <xdr:row>32</xdr:row>
      <xdr:rowOff>158405</xdr:rowOff>
    </xdr:to>
    <xdr:cxnSp macro="">
      <xdr:nvCxnSpPr>
        <xdr:cNvPr id="25" name="Straight Arrow Connector 24">
          <a:extLst>
            <a:ext uri="{FF2B5EF4-FFF2-40B4-BE49-F238E27FC236}">
              <a16:creationId xmlns:a16="http://schemas.microsoft.com/office/drawing/2014/main" id="{65027790-B87C-4819-A4CE-9A89B5B2814C}"/>
            </a:ext>
          </a:extLst>
        </xdr:cNvPr>
        <xdr:cNvCxnSpPr>
          <a:stCxn id="21" idx="0"/>
          <a:endCxn id="24" idx="1"/>
        </xdr:cNvCxnSpPr>
      </xdr:nvCxnSpPr>
      <xdr:spPr>
        <a:xfrm flipH="1" flipV="1">
          <a:off x="3609976" y="4284804"/>
          <a:ext cx="301210" cy="18648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520148</xdr:colOff>
      <xdr:row>2</xdr:row>
      <xdr:rowOff>128586</xdr:rowOff>
    </xdr:from>
    <xdr:ext cx="2146852" cy="896400"/>
    <xdr:sp macro="" textlink="">
      <xdr:nvSpPr>
        <xdr:cNvPr id="26" name="TextBox 25">
          <a:extLst>
            <a:ext uri="{FF2B5EF4-FFF2-40B4-BE49-F238E27FC236}">
              <a16:creationId xmlns:a16="http://schemas.microsoft.com/office/drawing/2014/main" id="{25B5CC29-22F6-42C0-AF43-66AE6F664C78}"/>
            </a:ext>
          </a:extLst>
        </xdr:cNvPr>
        <xdr:cNvSpPr txBox="1"/>
      </xdr:nvSpPr>
      <xdr:spPr>
        <a:xfrm>
          <a:off x="7987748" y="404811"/>
          <a:ext cx="2146852" cy="896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15.</a:t>
          </a:r>
          <a:r>
            <a:rPr lang="en-AU" sz="1000" baseline="0">
              <a:solidFill>
                <a:schemeClr val="bg1">
                  <a:lumMod val="95000"/>
                </a:schemeClr>
              </a:solidFill>
              <a:effectLst/>
              <a:latin typeface="+mn-lt"/>
              <a:ea typeface="+mn-ea"/>
              <a:cs typeface="+mn-cs"/>
            </a:rPr>
            <a:t> Enter pressures measured at designated positions on irrigation system and select units</a:t>
          </a:r>
        </a:p>
        <a:p>
          <a:r>
            <a:rPr lang="en-AU" sz="1000" baseline="0">
              <a:solidFill>
                <a:schemeClr val="bg1">
                  <a:lumMod val="95000"/>
                </a:schemeClr>
              </a:solidFill>
              <a:effectLst/>
              <a:latin typeface="+mn-lt"/>
              <a:ea typeface="+mn-ea"/>
              <a:cs typeface="+mn-cs"/>
            </a:rPr>
            <a:t>16. Enter the pressure rating of regulators and select units</a:t>
          </a:r>
        </a:p>
      </xdr:txBody>
    </xdr:sp>
    <xdr:clientData/>
  </xdr:oneCellAnchor>
  <xdr:oneCellAnchor>
    <xdr:from>
      <xdr:col>8</xdr:col>
      <xdr:colOff>444617</xdr:colOff>
      <xdr:row>2</xdr:row>
      <xdr:rowOff>129110</xdr:rowOff>
    </xdr:from>
    <xdr:ext cx="3064565" cy="896400"/>
    <xdr:sp macro="" textlink="">
      <xdr:nvSpPr>
        <xdr:cNvPr id="27" name="TextBox 26">
          <a:extLst>
            <a:ext uri="{FF2B5EF4-FFF2-40B4-BE49-F238E27FC236}">
              <a16:creationId xmlns:a16="http://schemas.microsoft.com/office/drawing/2014/main" id="{55F42D26-7BAE-4960-AF6A-B939548192BC}"/>
            </a:ext>
          </a:extLst>
        </xdr:cNvPr>
        <xdr:cNvSpPr txBox="1"/>
      </xdr:nvSpPr>
      <xdr:spPr>
        <a:xfrm>
          <a:off x="4864217" y="405335"/>
          <a:ext cx="3064565" cy="896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baseline="0">
              <a:solidFill>
                <a:schemeClr val="bg1">
                  <a:lumMod val="95000"/>
                </a:schemeClr>
              </a:solidFill>
              <a:effectLst/>
              <a:latin typeface="+mn-lt"/>
              <a:ea typeface="+mn-ea"/>
              <a:cs typeface="+mn-cs"/>
            </a:rPr>
            <a:t>14. Enter an estimate of static head or height difference: </a:t>
          </a:r>
        </a:p>
        <a:p>
          <a:r>
            <a:rPr lang="en-AU" sz="1000" baseline="0">
              <a:solidFill>
                <a:schemeClr val="bg1">
                  <a:lumMod val="95000"/>
                </a:schemeClr>
              </a:solidFill>
              <a:effectLst/>
              <a:latin typeface="+mn-lt"/>
              <a:ea typeface="+mn-ea"/>
              <a:cs typeface="+mn-cs"/>
            </a:rPr>
            <a:t>~Suction lift (for bores this is depth to water level from the centre of the pump)</a:t>
          </a:r>
        </a:p>
        <a:p>
          <a:r>
            <a:rPr lang="en-AU" sz="1000" baseline="0">
              <a:solidFill>
                <a:schemeClr val="bg1">
                  <a:lumMod val="95000"/>
                </a:schemeClr>
              </a:solidFill>
              <a:effectLst/>
              <a:latin typeface="+mn-lt"/>
              <a:ea typeface="+mn-ea"/>
              <a:cs typeface="+mn-cs"/>
            </a:rPr>
            <a:t>~Lift from pump to pivot base</a:t>
          </a:r>
        </a:p>
        <a:p>
          <a:r>
            <a:rPr lang="en-AU" sz="1000" baseline="0">
              <a:solidFill>
                <a:schemeClr val="bg1">
                  <a:lumMod val="95000"/>
                </a:schemeClr>
              </a:solidFill>
              <a:effectLst/>
              <a:latin typeface="+mn-lt"/>
              <a:ea typeface="+mn-ea"/>
              <a:cs typeface="+mn-cs"/>
            </a:rPr>
            <a:t>~Lift from pivot base to sprinklers</a:t>
          </a:r>
        </a:p>
      </xdr:txBody>
    </xdr:sp>
    <xdr:clientData/>
  </xdr:oneCellAnchor>
  <xdr:twoCellAnchor>
    <xdr:from>
      <xdr:col>11</xdr:col>
      <xdr:colOff>59635</xdr:colOff>
      <xdr:row>7</xdr:row>
      <xdr:rowOff>64131</xdr:rowOff>
    </xdr:from>
    <xdr:to>
      <xdr:col>15</xdr:col>
      <xdr:colOff>373705</xdr:colOff>
      <xdr:row>16</xdr:row>
      <xdr:rowOff>36443</xdr:rowOff>
    </xdr:to>
    <xdr:cxnSp macro="">
      <xdr:nvCxnSpPr>
        <xdr:cNvPr id="28" name="Straight Arrow Connector 27">
          <a:extLst>
            <a:ext uri="{FF2B5EF4-FFF2-40B4-BE49-F238E27FC236}">
              <a16:creationId xmlns:a16="http://schemas.microsoft.com/office/drawing/2014/main" id="{B5A3CF8C-8D71-45FD-915C-1C12849F7A74}"/>
            </a:ext>
          </a:extLst>
        </xdr:cNvPr>
        <xdr:cNvCxnSpPr>
          <a:stCxn id="26" idx="2"/>
        </xdr:cNvCxnSpPr>
      </xdr:nvCxnSpPr>
      <xdr:spPr>
        <a:xfrm flipH="1">
          <a:off x="6308035" y="1292856"/>
          <a:ext cx="2752470" cy="16868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178904</xdr:colOff>
      <xdr:row>7</xdr:row>
      <xdr:rowOff>64655</xdr:rowOff>
    </xdr:from>
    <xdr:to>
      <xdr:col>11</xdr:col>
      <xdr:colOff>147097</xdr:colOff>
      <xdr:row>17</xdr:row>
      <xdr:rowOff>165653</xdr:rowOff>
    </xdr:to>
    <xdr:cxnSp macro="">
      <xdr:nvCxnSpPr>
        <xdr:cNvPr id="29" name="Straight Arrow Connector 28">
          <a:extLst>
            <a:ext uri="{FF2B5EF4-FFF2-40B4-BE49-F238E27FC236}">
              <a16:creationId xmlns:a16="http://schemas.microsoft.com/office/drawing/2014/main" id="{6F5E618C-CA2A-421C-8646-F31283706F26}"/>
            </a:ext>
          </a:extLst>
        </xdr:cNvPr>
        <xdr:cNvCxnSpPr>
          <a:stCxn id="27" idx="2"/>
        </xdr:cNvCxnSpPr>
      </xdr:nvCxnSpPr>
      <xdr:spPr>
        <a:xfrm flipH="1">
          <a:off x="5208104" y="1293380"/>
          <a:ext cx="1187393" cy="200599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39757</xdr:colOff>
      <xdr:row>7</xdr:row>
      <xdr:rowOff>64655</xdr:rowOff>
    </xdr:from>
    <xdr:to>
      <xdr:col>11</xdr:col>
      <xdr:colOff>147097</xdr:colOff>
      <xdr:row>16</xdr:row>
      <xdr:rowOff>23191</xdr:rowOff>
    </xdr:to>
    <xdr:cxnSp macro="">
      <xdr:nvCxnSpPr>
        <xdr:cNvPr id="30" name="Straight Arrow Connector 29">
          <a:extLst>
            <a:ext uri="{FF2B5EF4-FFF2-40B4-BE49-F238E27FC236}">
              <a16:creationId xmlns:a16="http://schemas.microsoft.com/office/drawing/2014/main" id="{725A26CD-B030-4E9E-9EB6-D4539EBEF8D9}"/>
            </a:ext>
          </a:extLst>
        </xdr:cNvPr>
        <xdr:cNvCxnSpPr>
          <a:stCxn id="27" idx="2"/>
        </xdr:cNvCxnSpPr>
      </xdr:nvCxnSpPr>
      <xdr:spPr>
        <a:xfrm flipH="1">
          <a:off x="5068957" y="1293380"/>
          <a:ext cx="1326540" cy="16730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xdr:row>
      <xdr:rowOff>64655</xdr:rowOff>
    </xdr:from>
    <xdr:to>
      <xdr:col>11</xdr:col>
      <xdr:colOff>147097</xdr:colOff>
      <xdr:row>13</xdr:row>
      <xdr:rowOff>59635</xdr:rowOff>
    </xdr:to>
    <xdr:cxnSp macro="">
      <xdr:nvCxnSpPr>
        <xdr:cNvPr id="31" name="Straight Arrow Connector 30">
          <a:extLst>
            <a:ext uri="{FF2B5EF4-FFF2-40B4-BE49-F238E27FC236}">
              <a16:creationId xmlns:a16="http://schemas.microsoft.com/office/drawing/2014/main" id="{97FB8FD1-EBDE-47A4-B647-6F41A30B737C}"/>
            </a:ext>
          </a:extLst>
        </xdr:cNvPr>
        <xdr:cNvCxnSpPr>
          <a:stCxn id="27" idx="2"/>
        </xdr:cNvCxnSpPr>
      </xdr:nvCxnSpPr>
      <xdr:spPr>
        <a:xfrm flipH="1">
          <a:off x="5029200" y="1293380"/>
          <a:ext cx="1366297" cy="11379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212035</xdr:colOff>
      <xdr:row>7</xdr:row>
      <xdr:rowOff>64131</xdr:rowOff>
    </xdr:from>
    <xdr:to>
      <xdr:col>15</xdr:col>
      <xdr:colOff>373705</xdr:colOff>
      <xdr:row>12</xdr:row>
      <xdr:rowOff>6626</xdr:rowOff>
    </xdr:to>
    <xdr:cxnSp macro="">
      <xdr:nvCxnSpPr>
        <xdr:cNvPr id="32" name="Straight Arrow Connector 31">
          <a:extLst>
            <a:ext uri="{FF2B5EF4-FFF2-40B4-BE49-F238E27FC236}">
              <a16:creationId xmlns:a16="http://schemas.microsoft.com/office/drawing/2014/main" id="{38F49E62-3ACF-4A6C-B1E0-A4A1A650D17E}"/>
            </a:ext>
          </a:extLst>
        </xdr:cNvPr>
        <xdr:cNvCxnSpPr>
          <a:stCxn id="26" idx="2"/>
        </xdr:cNvCxnSpPr>
      </xdr:nvCxnSpPr>
      <xdr:spPr>
        <a:xfrm flipH="1">
          <a:off x="6460435" y="1292856"/>
          <a:ext cx="2600070" cy="89499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102704</xdr:colOff>
      <xdr:row>7</xdr:row>
      <xdr:rowOff>64131</xdr:rowOff>
    </xdr:from>
    <xdr:to>
      <xdr:col>15</xdr:col>
      <xdr:colOff>373705</xdr:colOff>
      <xdr:row>10</xdr:row>
      <xdr:rowOff>53008</xdr:rowOff>
    </xdr:to>
    <xdr:cxnSp macro="">
      <xdr:nvCxnSpPr>
        <xdr:cNvPr id="33" name="Straight Arrow Connector 32">
          <a:extLst>
            <a:ext uri="{FF2B5EF4-FFF2-40B4-BE49-F238E27FC236}">
              <a16:creationId xmlns:a16="http://schemas.microsoft.com/office/drawing/2014/main" id="{FAE2FEE0-1750-45CF-A0C2-8EC0461BC7A6}"/>
            </a:ext>
          </a:extLst>
        </xdr:cNvPr>
        <xdr:cNvCxnSpPr>
          <a:stCxn id="26" idx="2"/>
        </xdr:cNvCxnSpPr>
      </xdr:nvCxnSpPr>
      <xdr:spPr>
        <a:xfrm flipH="1">
          <a:off x="8789504" y="1292856"/>
          <a:ext cx="271001" cy="56037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469232</xdr:colOff>
      <xdr:row>32</xdr:row>
      <xdr:rowOff>171959</xdr:rowOff>
    </xdr:from>
    <xdr:ext cx="2359526" cy="741600"/>
    <xdr:sp macro="" textlink="">
      <xdr:nvSpPr>
        <xdr:cNvPr id="34" name="TextBox 33">
          <a:extLst>
            <a:ext uri="{FF2B5EF4-FFF2-40B4-BE49-F238E27FC236}">
              <a16:creationId xmlns:a16="http://schemas.microsoft.com/office/drawing/2014/main" id="{F4BF18BD-DE50-4E10-89DA-4C54DD1CD837}"/>
            </a:ext>
          </a:extLst>
        </xdr:cNvPr>
        <xdr:cNvSpPr txBox="1"/>
      </xdr:nvSpPr>
      <xdr:spPr>
        <a:xfrm>
          <a:off x="7936832" y="6163184"/>
          <a:ext cx="2359526" cy="741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baseline="0">
              <a:solidFill>
                <a:schemeClr val="bg1">
                  <a:lumMod val="95000"/>
                </a:schemeClr>
              </a:solidFill>
              <a:effectLst/>
              <a:latin typeface="+mn-lt"/>
              <a:ea typeface="+mn-ea"/>
              <a:cs typeface="+mn-cs"/>
            </a:rPr>
            <a:t>12. Enter your target pump efficiency. This figure is used to estimate potential savings from improving pump efficiency</a:t>
          </a:r>
        </a:p>
      </xdr:txBody>
    </xdr:sp>
    <xdr:clientData/>
  </xdr:oneCellAnchor>
  <xdr:twoCellAnchor>
    <xdr:from>
      <xdr:col>11</xdr:col>
      <xdr:colOff>200025</xdr:colOff>
      <xdr:row>25</xdr:row>
      <xdr:rowOff>123825</xdr:rowOff>
    </xdr:from>
    <xdr:to>
      <xdr:col>15</xdr:col>
      <xdr:colOff>429795</xdr:colOff>
      <xdr:row>32</xdr:row>
      <xdr:rowOff>171959</xdr:rowOff>
    </xdr:to>
    <xdr:cxnSp macro="">
      <xdr:nvCxnSpPr>
        <xdr:cNvPr id="35" name="Straight Arrow Connector 34">
          <a:extLst>
            <a:ext uri="{FF2B5EF4-FFF2-40B4-BE49-F238E27FC236}">
              <a16:creationId xmlns:a16="http://schemas.microsoft.com/office/drawing/2014/main" id="{193D9DEF-3427-473C-B265-DDF1F88F0F51}"/>
            </a:ext>
          </a:extLst>
        </xdr:cNvPr>
        <xdr:cNvCxnSpPr>
          <a:stCxn id="34" idx="0"/>
        </xdr:cNvCxnSpPr>
      </xdr:nvCxnSpPr>
      <xdr:spPr>
        <a:xfrm flipH="1" flipV="1">
          <a:off x="6448425" y="4781550"/>
          <a:ext cx="2668170" cy="13816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28112</xdr:colOff>
      <xdr:row>3</xdr:row>
      <xdr:rowOff>95251</xdr:rowOff>
    </xdr:from>
    <xdr:ext cx="2376000" cy="400049"/>
    <xdr:sp macro="" textlink="">
      <xdr:nvSpPr>
        <xdr:cNvPr id="36" name="TextBox 35">
          <a:extLst>
            <a:ext uri="{FF2B5EF4-FFF2-40B4-BE49-F238E27FC236}">
              <a16:creationId xmlns:a16="http://schemas.microsoft.com/office/drawing/2014/main" id="{1F258F5D-2CE9-40AF-88E7-DB802A491738}"/>
            </a:ext>
          </a:extLst>
        </xdr:cNvPr>
        <xdr:cNvSpPr txBox="1"/>
      </xdr:nvSpPr>
      <xdr:spPr>
        <a:xfrm>
          <a:off x="180512" y="561976"/>
          <a:ext cx="2376000" cy="4000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1.</a:t>
          </a:r>
          <a:r>
            <a:rPr lang="en-AU" sz="1000" baseline="0">
              <a:solidFill>
                <a:schemeClr val="bg1">
                  <a:lumMod val="95000"/>
                </a:schemeClr>
              </a:solidFill>
              <a:effectLst/>
              <a:latin typeface="+mn-lt"/>
              <a:ea typeface="+mn-ea"/>
              <a:cs typeface="+mn-cs"/>
            </a:rPr>
            <a:t> Select energy source</a:t>
          </a:r>
        </a:p>
        <a:p>
          <a:r>
            <a:rPr lang="en-AU" sz="1000" baseline="0">
              <a:solidFill>
                <a:schemeClr val="bg1">
                  <a:lumMod val="95000"/>
                </a:schemeClr>
              </a:solidFill>
              <a:effectLst/>
              <a:latin typeface="+mn-lt"/>
              <a:ea typeface="+mn-ea"/>
              <a:cs typeface="+mn-cs"/>
            </a:rPr>
            <a:t>~ Diesel or electricity</a:t>
          </a:r>
        </a:p>
      </xdr:txBody>
    </xdr:sp>
    <xdr:clientData/>
  </xdr:oneCellAnchor>
  <xdr:twoCellAnchor>
    <xdr:from>
      <xdr:col>4</xdr:col>
      <xdr:colOff>574310</xdr:colOff>
      <xdr:row>4</xdr:row>
      <xdr:rowOff>103105</xdr:rowOff>
    </xdr:from>
    <xdr:to>
      <xdr:col>7</xdr:col>
      <xdr:colOff>65314</xdr:colOff>
      <xdr:row>11</xdr:row>
      <xdr:rowOff>5443</xdr:rowOff>
    </xdr:to>
    <xdr:cxnSp macro="">
      <xdr:nvCxnSpPr>
        <xdr:cNvPr id="37" name="Straight Arrow Connector 36">
          <a:extLst>
            <a:ext uri="{FF2B5EF4-FFF2-40B4-BE49-F238E27FC236}">
              <a16:creationId xmlns:a16="http://schemas.microsoft.com/office/drawing/2014/main" id="{F3D13603-C7E8-437F-916C-72FB8E9CB017}"/>
            </a:ext>
          </a:extLst>
        </xdr:cNvPr>
        <xdr:cNvCxnSpPr>
          <a:stCxn id="36" idx="3"/>
        </xdr:cNvCxnSpPr>
      </xdr:nvCxnSpPr>
      <xdr:spPr>
        <a:xfrm>
          <a:off x="2555510" y="760330"/>
          <a:ext cx="1319804" cy="123583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56687</xdr:colOff>
      <xdr:row>26</xdr:row>
      <xdr:rowOff>140918</xdr:rowOff>
    </xdr:from>
    <xdr:to>
      <xdr:col>4</xdr:col>
      <xdr:colOff>602885</xdr:colOff>
      <xdr:row>30</xdr:row>
      <xdr:rowOff>136669</xdr:rowOff>
    </xdr:to>
    <xdr:sp macro="" textlink="">
      <xdr:nvSpPr>
        <xdr:cNvPr id="38" name="TextBox 37">
          <a:extLst>
            <a:ext uri="{FF2B5EF4-FFF2-40B4-BE49-F238E27FC236}">
              <a16:creationId xmlns:a16="http://schemas.microsoft.com/office/drawing/2014/main" id="{94356DDA-F18F-4354-B186-0804C1D6FC6C}"/>
            </a:ext>
          </a:extLst>
        </xdr:cNvPr>
        <xdr:cNvSpPr txBox="1"/>
      </xdr:nvSpPr>
      <xdr:spPr>
        <a:xfrm>
          <a:off x="209087" y="4989143"/>
          <a:ext cx="2374998" cy="75775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7. Describe your centre pivot: how much of a</a:t>
          </a:r>
          <a:r>
            <a:rPr lang="en-AU" sz="1000" baseline="0">
              <a:solidFill>
                <a:schemeClr val="lt1"/>
              </a:solidFill>
              <a:effectLst/>
              <a:latin typeface="+mn-lt"/>
              <a:ea typeface="+mn-ea"/>
              <a:cs typeface="+mn-cs"/>
            </a:rPr>
            <a:t> circle it covers, distance from center to the last sprinkler, the endgun type and nozzle size, and if a booster pump is fitted.</a:t>
          </a:r>
          <a:endParaRPr lang="en-AU" sz="1000">
            <a:solidFill>
              <a:schemeClr val="bg1">
                <a:lumMod val="95000"/>
              </a:schemeClr>
            </a:solidFill>
            <a:effectLst/>
          </a:endParaRPr>
        </a:p>
      </xdr:txBody>
    </xdr:sp>
    <xdr:clientData/>
  </xdr:twoCellAnchor>
  <xdr:twoCellAnchor>
    <xdr:from>
      <xdr:col>1</xdr:col>
      <xdr:colOff>47162</xdr:colOff>
      <xdr:row>30</xdr:row>
      <xdr:rowOff>185986</xdr:rowOff>
    </xdr:from>
    <xdr:to>
      <xdr:col>4</xdr:col>
      <xdr:colOff>593360</xdr:colOff>
      <xdr:row>38</xdr:row>
      <xdr:rowOff>32888</xdr:rowOff>
    </xdr:to>
    <xdr:sp macro="" textlink="">
      <xdr:nvSpPr>
        <xdr:cNvPr id="39" name="TextBox 38">
          <a:extLst>
            <a:ext uri="{FF2B5EF4-FFF2-40B4-BE49-F238E27FC236}">
              <a16:creationId xmlns:a16="http://schemas.microsoft.com/office/drawing/2014/main" id="{EFA83AE7-E2F8-470E-AFD2-35C2BBD87487}"/>
            </a:ext>
          </a:extLst>
        </xdr:cNvPr>
        <xdr:cNvSpPr txBox="1"/>
      </xdr:nvSpPr>
      <xdr:spPr>
        <a:xfrm>
          <a:off x="199562" y="5796211"/>
          <a:ext cx="2374998" cy="13709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8. Select</a:t>
          </a:r>
          <a:r>
            <a:rPr lang="en-AU" sz="1000" baseline="0">
              <a:solidFill>
                <a:schemeClr val="lt1"/>
              </a:solidFill>
              <a:effectLst/>
              <a:latin typeface="+mn-lt"/>
              <a:ea typeface="+mn-ea"/>
              <a:cs typeface="+mn-cs"/>
            </a:rPr>
            <a:t> wheel tower drive type. Select "Electric drive" to account for the energy consumption of the wheel towers if wheel tower energy consumption is part of the Energy input measurement above. Otherwise, select "Seperate power source".</a:t>
          </a:r>
          <a:endParaRPr lang="en-AU" sz="1000">
            <a:solidFill>
              <a:schemeClr val="bg1">
                <a:lumMod val="95000"/>
              </a:schemeClr>
            </a:solidFill>
            <a:effectLst/>
          </a:endParaRPr>
        </a:p>
      </xdr:txBody>
    </xdr:sp>
    <xdr:clientData/>
  </xdr:twoCellAnchor>
  <xdr:twoCellAnchor>
    <xdr:from>
      <xdr:col>1</xdr:col>
      <xdr:colOff>84662</xdr:colOff>
      <xdr:row>36</xdr:row>
      <xdr:rowOff>49895</xdr:rowOff>
    </xdr:from>
    <xdr:to>
      <xdr:col>4</xdr:col>
      <xdr:colOff>315742</xdr:colOff>
      <xdr:row>37</xdr:row>
      <xdr:rowOff>164622</xdr:rowOff>
    </xdr:to>
    <xdr:sp macro="" textlink="">
      <xdr:nvSpPr>
        <xdr:cNvPr id="40" name="TextBox 39">
          <a:extLst>
            <a:ext uri="{FF2B5EF4-FFF2-40B4-BE49-F238E27FC236}">
              <a16:creationId xmlns:a16="http://schemas.microsoft.com/office/drawing/2014/main" id="{AC6533A2-E9B1-4B63-A88C-B0D94AAA27B2}"/>
            </a:ext>
          </a:extLst>
        </xdr:cNvPr>
        <xdr:cNvSpPr txBox="1"/>
      </xdr:nvSpPr>
      <xdr:spPr>
        <a:xfrm>
          <a:off x="237062" y="6803120"/>
          <a:ext cx="2059880" cy="305227"/>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0" rIns="36000" bIns="0" rtlCol="0" anchor="ctr">
          <a:noAutofit/>
        </a:bodyPr>
        <a:lstStyle/>
        <a:p>
          <a:r>
            <a:rPr lang="en-AU" sz="900" baseline="0">
              <a:solidFill>
                <a:srgbClr val="FF0000"/>
              </a:solidFill>
              <a:effectLst/>
              <a:latin typeface="+mn-lt"/>
              <a:ea typeface="+mn-ea"/>
              <a:cs typeface="+mn-cs"/>
            </a:rPr>
            <a:t>Output: The total area covered by the pivot and endgun is calculated</a:t>
          </a:r>
          <a:endParaRPr lang="en-AU" sz="900">
            <a:solidFill>
              <a:srgbClr val="FF0000"/>
            </a:solidFill>
            <a:effectLst/>
          </a:endParaRPr>
        </a:p>
      </xdr:txBody>
    </xdr:sp>
    <xdr:clientData/>
  </xdr:twoCellAnchor>
  <xdr:twoCellAnchor>
    <xdr:from>
      <xdr:col>4</xdr:col>
      <xdr:colOff>602885</xdr:colOff>
      <xdr:row>19</xdr:row>
      <xdr:rowOff>90695</xdr:rowOff>
    </xdr:from>
    <xdr:to>
      <xdr:col>5</xdr:col>
      <xdr:colOff>409576</xdr:colOff>
      <xdr:row>28</xdr:row>
      <xdr:rowOff>138794</xdr:rowOff>
    </xdr:to>
    <xdr:cxnSp macro="">
      <xdr:nvCxnSpPr>
        <xdr:cNvPr id="41" name="Straight Arrow Connector 40">
          <a:extLst>
            <a:ext uri="{FF2B5EF4-FFF2-40B4-BE49-F238E27FC236}">
              <a16:creationId xmlns:a16="http://schemas.microsoft.com/office/drawing/2014/main" id="{93B1D91D-709C-45AF-AF09-757B1876972F}"/>
            </a:ext>
          </a:extLst>
        </xdr:cNvPr>
        <xdr:cNvCxnSpPr>
          <a:stCxn id="38" idx="3"/>
          <a:endCxn id="23" idx="1"/>
        </xdr:cNvCxnSpPr>
      </xdr:nvCxnSpPr>
      <xdr:spPr>
        <a:xfrm flipV="1">
          <a:off x="2584085" y="3605420"/>
          <a:ext cx="416291" cy="17625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424781</xdr:colOff>
      <xdr:row>20</xdr:row>
      <xdr:rowOff>87201</xdr:rowOff>
    </xdr:from>
    <xdr:to>
      <xdr:col>5</xdr:col>
      <xdr:colOff>548606</xdr:colOff>
      <xdr:row>21</xdr:row>
      <xdr:rowOff>52181</xdr:rowOff>
    </xdr:to>
    <xdr:sp macro="" textlink="">
      <xdr:nvSpPr>
        <xdr:cNvPr id="42" name="Left Brace 41">
          <a:extLst>
            <a:ext uri="{FF2B5EF4-FFF2-40B4-BE49-F238E27FC236}">
              <a16:creationId xmlns:a16="http://schemas.microsoft.com/office/drawing/2014/main" id="{110FA62A-85F4-4C1B-87B7-75A2F2D0EEF9}"/>
            </a:ext>
          </a:extLst>
        </xdr:cNvPr>
        <xdr:cNvSpPr/>
      </xdr:nvSpPr>
      <xdr:spPr>
        <a:xfrm>
          <a:off x="3015581" y="3792426"/>
          <a:ext cx="123825" cy="155480"/>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4</xdr:col>
      <xdr:colOff>593360</xdr:colOff>
      <xdr:row>20</xdr:row>
      <xdr:rowOff>164941</xdr:rowOff>
    </xdr:from>
    <xdr:to>
      <xdr:col>5</xdr:col>
      <xdr:colOff>424781</xdr:colOff>
      <xdr:row>34</xdr:row>
      <xdr:rowOff>109437</xdr:rowOff>
    </xdr:to>
    <xdr:cxnSp macro="">
      <xdr:nvCxnSpPr>
        <xdr:cNvPr id="43" name="Straight Arrow Connector 42">
          <a:extLst>
            <a:ext uri="{FF2B5EF4-FFF2-40B4-BE49-F238E27FC236}">
              <a16:creationId xmlns:a16="http://schemas.microsoft.com/office/drawing/2014/main" id="{99232B51-729C-4AC9-AE03-CFB04D3AB46C}"/>
            </a:ext>
          </a:extLst>
        </xdr:cNvPr>
        <xdr:cNvCxnSpPr>
          <a:stCxn id="39" idx="3"/>
          <a:endCxn id="42" idx="1"/>
        </xdr:cNvCxnSpPr>
      </xdr:nvCxnSpPr>
      <xdr:spPr>
        <a:xfrm flipV="1">
          <a:off x="2574560" y="3870166"/>
          <a:ext cx="441021" cy="261149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300839</xdr:colOff>
      <xdr:row>33</xdr:row>
      <xdr:rowOff>10034</xdr:rowOff>
    </xdr:from>
    <xdr:to>
      <xdr:col>13</xdr:col>
      <xdr:colOff>238439</xdr:colOff>
      <xdr:row>36</xdr:row>
      <xdr:rowOff>173450</xdr:rowOff>
    </xdr:to>
    <xdr:grpSp>
      <xdr:nvGrpSpPr>
        <xdr:cNvPr id="44" name="Group 43">
          <a:extLst>
            <a:ext uri="{FF2B5EF4-FFF2-40B4-BE49-F238E27FC236}">
              <a16:creationId xmlns:a16="http://schemas.microsoft.com/office/drawing/2014/main" id="{A33B2641-7F15-4882-A63F-8DDDDC28C4F6}"/>
            </a:ext>
          </a:extLst>
        </xdr:cNvPr>
        <xdr:cNvGrpSpPr/>
      </xdr:nvGrpSpPr>
      <xdr:grpSpPr>
        <a:xfrm>
          <a:off x="5330039" y="6191759"/>
          <a:ext cx="2376000" cy="734916"/>
          <a:chOff x="219074" y="5381624"/>
          <a:chExt cx="2219325" cy="741417"/>
        </a:xfrm>
      </xdr:grpSpPr>
      <xdr:sp macro="" textlink="">
        <xdr:nvSpPr>
          <xdr:cNvPr id="45" name="TextBox 44">
            <a:extLst>
              <a:ext uri="{FF2B5EF4-FFF2-40B4-BE49-F238E27FC236}">
                <a16:creationId xmlns:a16="http://schemas.microsoft.com/office/drawing/2014/main" id="{92CB1DF9-10BB-4CA0-9C7E-695FA86ECAB5}"/>
              </a:ext>
            </a:extLst>
          </xdr:cNvPr>
          <xdr:cNvSpPr txBox="1"/>
        </xdr:nvSpPr>
        <xdr:spPr>
          <a:xfrm>
            <a:off x="219074" y="5381624"/>
            <a:ext cx="2219325" cy="74141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baseline="0">
                <a:solidFill>
                  <a:schemeClr val="lt1"/>
                </a:solidFill>
                <a:effectLst/>
                <a:latin typeface="+mn-lt"/>
                <a:ea typeface="+mn-ea"/>
                <a:cs typeface="+mn-cs"/>
              </a:rPr>
              <a:t>11. </a:t>
            </a:r>
            <a:r>
              <a:rPr lang="en-AU" sz="1000">
                <a:solidFill>
                  <a:schemeClr val="lt1"/>
                </a:solidFill>
                <a:effectLst/>
                <a:latin typeface="+mn-lt"/>
                <a:ea typeface="+mn-ea"/>
                <a:cs typeface="+mn-cs"/>
              </a:rPr>
              <a:t>Select the type of drive that connects the pump to the motor</a:t>
            </a:r>
            <a:endParaRPr lang="en-AU" sz="1000" baseline="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000">
              <a:effectLst/>
            </a:endParaRPr>
          </a:p>
          <a:p>
            <a:endParaRPr lang="en-AU" sz="1000" baseline="0">
              <a:solidFill>
                <a:schemeClr val="lt1"/>
              </a:solidFill>
              <a:effectLst/>
              <a:latin typeface="+mn-lt"/>
              <a:ea typeface="+mn-ea"/>
              <a:cs typeface="+mn-cs"/>
            </a:endParaRPr>
          </a:p>
        </xdr:txBody>
      </xdr:sp>
      <xdr:sp macro="" textlink="">
        <xdr:nvSpPr>
          <xdr:cNvPr id="46" name="TextBox 45">
            <a:extLst>
              <a:ext uri="{FF2B5EF4-FFF2-40B4-BE49-F238E27FC236}">
                <a16:creationId xmlns:a16="http://schemas.microsoft.com/office/drawing/2014/main" id="{E7E7E3AE-A2A4-44FC-B6AA-38A50DB64972}"/>
              </a:ext>
            </a:extLst>
          </xdr:cNvPr>
          <xdr:cNvSpPr txBox="1"/>
        </xdr:nvSpPr>
        <xdr:spPr>
          <a:xfrm>
            <a:off x="341638" y="5754106"/>
            <a:ext cx="1924050" cy="304800"/>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0" rIns="36000" bIns="0" rtlCol="0" anchor="ctr">
            <a:noAutofit/>
          </a:bodyPr>
          <a:lstStyle/>
          <a:p>
            <a:r>
              <a:rPr lang="en-AU" sz="900" baseline="0">
                <a:solidFill>
                  <a:srgbClr val="FF0000"/>
                </a:solidFill>
                <a:effectLst/>
                <a:latin typeface="+mn-lt"/>
                <a:ea typeface="+mn-ea"/>
                <a:cs typeface="+mn-cs"/>
              </a:rPr>
              <a:t>Output: Typical efficiency for the selected drive type.</a:t>
            </a:r>
            <a:endParaRPr lang="en-AU" sz="900">
              <a:solidFill>
                <a:srgbClr val="FF0000"/>
              </a:solidFill>
              <a:effectLst/>
            </a:endParaRPr>
          </a:p>
        </xdr:txBody>
      </xdr:sp>
    </xdr:grpSp>
    <xdr:clientData/>
  </xdr:twoCellAnchor>
  <xdr:twoCellAnchor>
    <xdr:from>
      <xdr:col>7</xdr:col>
      <xdr:colOff>288120</xdr:colOff>
      <xdr:row>23</xdr:row>
      <xdr:rowOff>176232</xdr:rowOff>
    </xdr:from>
    <xdr:to>
      <xdr:col>7</xdr:col>
      <xdr:colOff>411945</xdr:colOff>
      <xdr:row>24</xdr:row>
      <xdr:rowOff>141213</xdr:rowOff>
    </xdr:to>
    <xdr:sp macro="" textlink="">
      <xdr:nvSpPr>
        <xdr:cNvPr id="47" name="Left Brace 46">
          <a:extLst>
            <a:ext uri="{FF2B5EF4-FFF2-40B4-BE49-F238E27FC236}">
              <a16:creationId xmlns:a16="http://schemas.microsoft.com/office/drawing/2014/main" id="{88D97261-1E97-42FB-8CEB-8A110C2E4728}"/>
            </a:ext>
          </a:extLst>
        </xdr:cNvPr>
        <xdr:cNvSpPr/>
      </xdr:nvSpPr>
      <xdr:spPr>
        <a:xfrm flipH="1">
          <a:off x="4098120" y="4452957"/>
          <a:ext cx="123825" cy="155481"/>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7</xdr:col>
      <xdr:colOff>411945</xdr:colOff>
      <xdr:row>24</xdr:row>
      <xdr:rowOff>63473</xdr:rowOff>
    </xdr:from>
    <xdr:to>
      <xdr:col>9</xdr:col>
      <xdr:colOff>300839</xdr:colOff>
      <xdr:row>34</xdr:row>
      <xdr:rowOff>186992</xdr:rowOff>
    </xdr:to>
    <xdr:cxnSp macro="">
      <xdr:nvCxnSpPr>
        <xdr:cNvPr id="48" name="Straight Arrow Connector 47">
          <a:extLst>
            <a:ext uri="{FF2B5EF4-FFF2-40B4-BE49-F238E27FC236}">
              <a16:creationId xmlns:a16="http://schemas.microsoft.com/office/drawing/2014/main" id="{126D71CB-5FB7-41EB-8961-4DC309090FF9}"/>
            </a:ext>
          </a:extLst>
        </xdr:cNvPr>
        <xdr:cNvCxnSpPr>
          <a:stCxn id="45" idx="1"/>
          <a:endCxn id="47" idx="1"/>
        </xdr:cNvCxnSpPr>
      </xdr:nvCxnSpPr>
      <xdr:spPr>
        <a:xfrm flipH="1" flipV="1">
          <a:off x="4221945" y="4530698"/>
          <a:ext cx="1108094" cy="20285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215339</xdr:colOff>
      <xdr:row>2</xdr:row>
      <xdr:rowOff>128489</xdr:rowOff>
    </xdr:from>
    <xdr:ext cx="778574" cy="896400"/>
    <xdr:sp macro="" textlink="">
      <xdr:nvSpPr>
        <xdr:cNvPr id="49" name="TextBox 48">
          <a:extLst>
            <a:ext uri="{FF2B5EF4-FFF2-40B4-BE49-F238E27FC236}">
              <a16:creationId xmlns:a16="http://schemas.microsoft.com/office/drawing/2014/main" id="{1D54ACB9-958B-4E1B-8B38-489A8B822AEB}"/>
            </a:ext>
          </a:extLst>
        </xdr:cNvPr>
        <xdr:cNvSpPr txBox="1"/>
      </xdr:nvSpPr>
      <xdr:spPr>
        <a:xfrm>
          <a:off x="4025339" y="404714"/>
          <a:ext cx="778574" cy="896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baseline="0">
              <a:solidFill>
                <a:schemeClr val="bg1">
                  <a:lumMod val="95000"/>
                </a:schemeClr>
              </a:solidFill>
              <a:effectLst/>
              <a:latin typeface="+mn-lt"/>
              <a:ea typeface="+mn-ea"/>
              <a:cs typeface="+mn-cs"/>
            </a:rPr>
            <a:t>13. Enter an estimate of friction loss in the suction pipe.</a:t>
          </a:r>
        </a:p>
      </xdr:txBody>
    </xdr:sp>
    <xdr:clientData/>
  </xdr:oneCellAnchor>
  <xdr:twoCellAnchor>
    <xdr:from>
      <xdr:col>7</xdr:col>
      <xdr:colOff>604626</xdr:colOff>
      <xdr:row>7</xdr:row>
      <xdr:rowOff>64034</xdr:rowOff>
    </xdr:from>
    <xdr:to>
      <xdr:col>8</xdr:col>
      <xdr:colOff>351183</xdr:colOff>
      <xdr:row>19</xdr:row>
      <xdr:rowOff>132522</xdr:rowOff>
    </xdr:to>
    <xdr:cxnSp macro="">
      <xdr:nvCxnSpPr>
        <xdr:cNvPr id="50" name="Straight Arrow Connector 49">
          <a:extLst>
            <a:ext uri="{FF2B5EF4-FFF2-40B4-BE49-F238E27FC236}">
              <a16:creationId xmlns:a16="http://schemas.microsoft.com/office/drawing/2014/main" id="{03398302-88ED-4E7F-8C77-9D8C9E8837C1}"/>
            </a:ext>
          </a:extLst>
        </xdr:cNvPr>
        <xdr:cNvCxnSpPr>
          <a:stCxn id="49" idx="2"/>
        </xdr:cNvCxnSpPr>
      </xdr:nvCxnSpPr>
      <xdr:spPr>
        <a:xfrm>
          <a:off x="4414626" y="1292759"/>
          <a:ext cx="356157" cy="235448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460513</xdr:colOff>
      <xdr:row>7</xdr:row>
      <xdr:rowOff>64131</xdr:rowOff>
    </xdr:from>
    <xdr:to>
      <xdr:col>15</xdr:col>
      <xdr:colOff>373705</xdr:colOff>
      <xdr:row>10</xdr:row>
      <xdr:rowOff>56321</xdr:rowOff>
    </xdr:to>
    <xdr:cxnSp macro="">
      <xdr:nvCxnSpPr>
        <xdr:cNvPr id="51" name="Straight Arrow Connector 50">
          <a:extLst>
            <a:ext uri="{FF2B5EF4-FFF2-40B4-BE49-F238E27FC236}">
              <a16:creationId xmlns:a16="http://schemas.microsoft.com/office/drawing/2014/main" id="{EF1FB38C-0A79-4F1D-A380-0CE79D2B3D9E}"/>
            </a:ext>
          </a:extLst>
        </xdr:cNvPr>
        <xdr:cNvCxnSpPr>
          <a:stCxn id="26" idx="2"/>
        </xdr:cNvCxnSpPr>
      </xdr:nvCxnSpPr>
      <xdr:spPr>
        <a:xfrm flipH="1">
          <a:off x="7928113" y="1292856"/>
          <a:ext cx="1132392" cy="5636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9525</xdr:colOff>
      <xdr:row>2</xdr:row>
      <xdr:rowOff>76198</xdr:rowOff>
    </xdr:from>
    <xdr:ext cx="13068300" cy="6638927"/>
    <xdr:sp macro="" textlink="">
      <xdr:nvSpPr>
        <xdr:cNvPr id="2" name="TextBox 1">
          <a:extLst>
            <a:ext uri="{FF2B5EF4-FFF2-40B4-BE49-F238E27FC236}">
              <a16:creationId xmlns:a16="http://schemas.microsoft.com/office/drawing/2014/main" id="{7222D4CE-33E6-4EEE-B796-E2AED0E57215}"/>
            </a:ext>
          </a:extLst>
        </xdr:cNvPr>
        <xdr:cNvSpPr txBox="1"/>
      </xdr:nvSpPr>
      <xdr:spPr>
        <a:xfrm>
          <a:off x="161925" y="352423"/>
          <a:ext cx="13068300" cy="6638927"/>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lang="en-AU" sz="1100" b="1">
              <a:solidFill>
                <a:schemeClr val="tx2">
                  <a:lumMod val="50000"/>
                </a:schemeClr>
              </a:solidFill>
            </a:rPr>
            <a:t>Data</a:t>
          </a:r>
          <a:r>
            <a:rPr lang="en-AU" sz="1100" b="1" baseline="0">
              <a:solidFill>
                <a:schemeClr val="tx2">
                  <a:lumMod val="50000"/>
                </a:schemeClr>
              </a:solidFill>
            </a:rPr>
            <a:t> interpretation</a:t>
          </a:r>
          <a:endParaRPr lang="en-AU" sz="1100" b="1">
            <a:solidFill>
              <a:schemeClr val="tx2">
                <a:lumMod val="50000"/>
              </a:schemeClr>
            </a:solidFill>
          </a:endParaRPr>
        </a:p>
      </xdr:txBody>
    </xdr:sp>
    <xdr:clientData/>
  </xdr:oneCellAnchor>
  <xdr:twoCellAnchor editAs="oneCell">
    <xdr:from>
      <xdr:col>5</xdr:col>
      <xdr:colOff>390525</xdr:colOff>
      <xdr:row>3</xdr:row>
      <xdr:rowOff>152399</xdr:rowOff>
    </xdr:from>
    <xdr:to>
      <xdr:col>17</xdr:col>
      <xdr:colOff>447675</xdr:colOff>
      <xdr:row>26</xdr:row>
      <xdr:rowOff>137926</xdr:rowOff>
    </xdr:to>
    <xdr:pic>
      <xdr:nvPicPr>
        <xdr:cNvPr id="49" name="Picture 48">
          <a:extLst>
            <a:ext uri="{FF2B5EF4-FFF2-40B4-BE49-F238E27FC236}">
              <a16:creationId xmlns:a16="http://schemas.microsoft.com/office/drawing/2014/main" id="{849CEF93-2C17-4A65-AF53-43794F1E2F9B}"/>
            </a:ext>
          </a:extLst>
        </xdr:cNvPr>
        <xdr:cNvPicPr>
          <a:picLocks noChangeAspect="1"/>
        </xdr:cNvPicPr>
      </xdr:nvPicPr>
      <xdr:blipFill>
        <a:blip xmlns:r="http://schemas.openxmlformats.org/officeDocument/2006/relationships" r:embed="rId1"/>
        <a:stretch>
          <a:fillRect/>
        </a:stretch>
      </xdr:blipFill>
      <xdr:spPr>
        <a:xfrm>
          <a:off x="2981325" y="619124"/>
          <a:ext cx="7372350" cy="4367027"/>
        </a:xfrm>
        <a:prstGeom prst="rect">
          <a:avLst/>
        </a:prstGeom>
      </xdr:spPr>
    </xdr:pic>
    <xdr:clientData/>
  </xdr:twoCellAnchor>
  <xdr:oneCellAnchor>
    <xdr:from>
      <xdr:col>1</xdr:col>
      <xdr:colOff>102869</xdr:colOff>
      <xdr:row>21</xdr:row>
      <xdr:rowOff>55197</xdr:rowOff>
    </xdr:from>
    <xdr:ext cx="2376000" cy="937691"/>
    <xdr:sp macro="" textlink="">
      <xdr:nvSpPr>
        <xdr:cNvPr id="4" name="TextBox 3">
          <a:extLst>
            <a:ext uri="{FF2B5EF4-FFF2-40B4-BE49-F238E27FC236}">
              <a16:creationId xmlns:a16="http://schemas.microsoft.com/office/drawing/2014/main" id="{F8925E0D-1C85-490C-A09C-DD2329A4D1E3}"/>
            </a:ext>
          </a:extLst>
        </xdr:cNvPr>
        <xdr:cNvSpPr txBox="1"/>
      </xdr:nvSpPr>
      <xdr:spPr>
        <a:xfrm>
          <a:off x="255269" y="3950922"/>
          <a:ext cx="2376000" cy="937691"/>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4. Total</a:t>
          </a:r>
          <a:r>
            <a:rPr lang="en-AU" sz="1000" baseline="0">
              <a:solidFill>
                <a:schemeClr val="lt1"/>
              </a:solidFill>
              <a:effectLst/>
              <a:latin typeface="+mn-lt"/>
              <a:ea typeface="+mn-ea"/>
              <a:cs typeface="+mn-cs"/>
            </a:rPr>
            <a:t> potential cost saving by improving  pump, motor and drive efficiency, reducing pipe line friction losses, and reducing pressure at the end of the pivot (where applicable).</a:t>
          </a:r>
          <a:endParaRPr lang="en-AU" sz="1000">
            <a:solidFill>
              <a:schemeClr val="bg1">
                <a:lumMod val="95000"/>
              </a:schemeClr>
            </a:solidFill>
            <a:effectLst/>
          </a:endParaRPr>
        </a:p>
      </xdr:txBody>
    </xdr:sp>
    <xdr:clientData/>
  </xdr:oneCellAnchor>
  <xdr:twoCellAnchor>
    <xdr:from>
      <xdr:col>5</xdr:col>
      <xdr:colOff>40469</xdr:colOff>
      <xdr:row>5</xdr:row>
      <xdr:rowOff>138113</xdr:rowOff>
    </xdr:from>
    <xdr:to>
      <xdr:col>8</xdr:col>
      <xdr:colOff>521970</xdr:colOff>
      <xdr:row>16</xdr:row>
      <xdr:rowOff>28575</xdr:rowOff>
    </xdr:to>
    <xdr:cxnSp macro="">
      <xdr:nvCxnSpPr>
        <xdr:cNvPr id="5" name="Straight Arrow Connector 4">
          <a:extLst>
            <a:ext uri="{FF2B5EF4-FFF2-40B4-BE49-F238E27FC236}">
              <a16:creationId xmlns:a16="http://schemas.microsoft.com/office/drawing/2014/main" id="{B6A793BF-3DC5-4360-BC4C-EFFC8E13E173}"/>
            </a:ext>
          </a:extLst>
        </xdr:cNvPr>
        <xdr:cNvCxnSpPr>
          <a:cxnSpLocks/>
          <a:stCxn id="9" idx="3"/>
        </xdr:cNvCxnSpPr>
      </xdr:nvCxnSpPr>
      <xdr:spPr>
        <a:xfrm>
          <a:off x="2631269" y="985838"/>
          <a:ext cx="2310301" cy="1985962"/>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5</xdr:col>
      <xdr:colOff>40469</xdr:colOff>
      <xdr:row>22</xdr:row>
      <xdr:rowOff>105711</xdr:rowOff>
    </xdr:from>
    <xdr:to>
      <xdr:col>6</xdr:col>
      <xdr:colOff>369989</xdr:colOff>
      <xdr:row>23</xdr:row>
      <xdr:rowOff>143043</xdr:rowOff>
    </xdr:to>
    <xdr:cxnSp macro="">
      <xdr:nvCxnSpPr>
        <xdr:cNvPr id="6" name="Straight Arrow Connector 5">
          <a:extLst>
            <a:ext uri="{FF2B5EF4-FFF2-40B4-BE49-F238E27FC236}">
              <a16:creationId xmlns:a16="http://schemas.microsoft.com/office/drawing/2014/main" id="{5963F519-BE88-43CD-A36F-2FF1FE31C868}"/>
            </a:ext>
          </a:extLst>
        </xdr:cNvPr>
        <xdr:cNvCxnSpPr>
          <a:cxnSpLocks/>
          <a:stCxn id="4" idx="3"/>
        </xdr:cNvCxnSpPr>
      </xdr:nvCxnSpPr>
      <xdr:spPr>
        <a:xfrm flipV="1">
          <a:off x="2631269" y="4191936"/>
          <a:ext cx="939120" cy="227832"/>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6</xdr:col>
      <xdr:colOff>356098</xdr:colOff>
      <xdr:row>19</xdr:row>
      <xdr:rowOff>142875</xdr:rowOff>
    </xdr:from>
    <xdr:to>
      <xdr:col>10</xdr:col>
      <xdr:colOff>371475</xdr:colOff>
      <xdr:row>30</xdr:row>
      <xdr:rowOff>177445</xdr:rowOff>
    </xdr:to>
    <xdr:cxnSp macro="">
      <xdr:nvCxnSpPr>
        <xdr:cNvPr id="8" name="Straight Arrow Connector 7">
          <a:extLst>
            <a:ext uri="{FF2B5EF4-FFF2-40B4-BE49-F238E27FC236}">
              <a16:creationId xmlns:a16="http://schemas.microsoft.com/office/drawing/2014/main" id="{6EC7CC2F-F365-4DAC-97B5-F1EBDCA04AFF}"/>
            </a:ext>
          </a:extLst>
        </xdr:cNvPr>
        <xdr:cNvCxnSpPr>
          <a:cxnSpLocks/>
          <a:stCxn id="10" idx="0"/>
        </xdr:cNvCxnSpPr>
      </xdr:nvCxnSpPr>
      <xdr:spPr>
        <a:xfrm flipV="1">
          <a:off x="3556498" y="3657600"/>
          <a:ext cx="2453777" cy="2130070"/>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102869</xdr:colOff>
      <xdr:row>3</xdr:row>
      <xdr:rowOff>123825</xdr:rowOff>
    </xdr:from>
    <xdr:to>
      <xdr:col>5</xdr:col>
      <xdr:colOff>40469</xdr:colOff>
      <xdr:row>7</xdr:row>
      <xdr:rowOff>152401</xdr:rowOff>
    </xdr:to>
    <xdr:sp macro="" textlink="">
      <xdr:nvSpPr>
        <xdr:cNvPr id="9" name="TextBox 9">
          <a:extLst>
            <a:ext uri="{FF2B5EF4-FFF2-40B4-BE49-F238E27FC236}">
              <a16:creationId xmlns:a16="http://schemas.microsoft.com/office/drawing/2014/main" id="{87B0A7D3-C468-40C7-B52D-1608BA0836F8}"/>
            </a:ext>
          </a:extLst>
        </xdr:cNvPr>
        <xdr:cNvSpPr txBox="1"/>
      </xdr:nvSpPr>
      <xdr:spPr>
        <a:xfrm>
          <a:off x="255269" y="590550"/>
          <a:ext cx="2376000" cy="790576"/>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1.</a:t>
          </a:r>
          <a:r>
            <a:rPr lang="en-AU" sz="1000" baseline="0">
              <a:solidFill>
                <a:schemeClr val="bg1">
                  <a:lumMod val="95000"/>
                </a:schemeClr>
              </a:solidFill>
              <a:effectLst/>
              <a:latin typeface="+mn-lt"/>
              <a:ea typeface="+mn-ea"/>
              <a:cs typeface="+mn-cs"/>
            </a:rPr>
            <a:t> Motor load explanation. </a:t>
          </a:r>
        </a:p>
        <a:p>
          <a:r>
            <a:rPr lang="en-AU" sz="1000" baseline="0">
              <a:solidFill>
                <a:schemeClr val="bg1">
                  <a:lumMod val="95000"/>
                </a:schemeClr>
              </a:solidFill>
              <a:effectLst/>
              <a:latin typeface="+mn-lt"/>
              <a:ea typeface="+mn-ea"/>
              <a:cs typeface="+mn-cs"/>
            </a:rPr>
            <a:t>Green = good, load from 50-100%</a:t>
          </a:r>
        </a:p>
        <a:p>
          <a:r>
            <a:rPr lang="en-AU" sz="1000" baseline="0">
              <a:solidFill>
                <a:schemeClr val="bg1">
                  <a:lumMod val="95000"/>
                </a:schemeClr>
              </a:solidFill>
              <a:effectLst/>
              <a:latin typeface="+mn-lt"/>
              <a:ea typeface="+mn-ea"/>
              <a:cs typeface="+mn-cs"/>
            </a:rPr>
            <a:t>Red = poor , load less than 50%</a:t>
          </a:r>
        </a:p>
        <a:p>
          <a:r>
            <a:rPr lang="en-AU" sz="1000" baseline="0">
              <a:solidFill>
                <a:schemeClr val="bg1">
                  <a:lumMod val="95000"/>
                </a:schemeClr>
              </a:solidFill>
              <a:effectLst/>
              <a:latin typeface="+mn-lt"/>
              <a:ea typeface="+mn-ea"/>
              <a:cs typeface="+mn-cs"/>
            </a:rPr>
            <a:t>Yellow = error - load greater than 100%</a:t>
          </a:r>
        </a:p>
        <a:p>
          <a:endParaRPr lang="en-AU" sz="1000" baseline="0">
            <a:solidFill>
              <a:schemeClr val="bg1">
                <a:lumMod val="95000"/>
              </a:schemeClr>
            </a:solidFill>
            <a:effectLst/>
            <a:latin typeface="+mn-lt"/>
            <a:ea typeface="+mn-ea"/>
            <a:cs typeface="+mn-cs"/>
          </a:endParaRPr>
        </a:p>
      </xdr:txBody>
    </xdr:sp>
    <xdr:clientData/>
  </xdr:twoCellAnchor>
  <xdr:twoCellAnchor>
    <xdr:from>
      <xdr:col>5</xdr:col>
      <xdr:colOff>199216</xdr:colOff>
      <xdr:row>30</xdr:row>
      <xdr:rowOff>177445</xdr:rowOff>
    </xdr:from>
    <xdr:to>
      <xdr:col>7</xdr:col>
      <xdr:colOff>512979</xdr:colOff>
      <xdr:row>35</xdr:row>
      <xdr:rowOff>121345</xdr:rowOff>
    </xdr:to>
    <xdr:sp macro="" textlink="">
      <xdr:nvSpPr>
        <xdr:cNvPr id="10" name="TextBox 9">
          <a:extLst>
            <a:ext uri="{FF2B5EF4-FFF2-40B4-BE49-F238E27FC236}">
              <a16:creationId xmlns:a16="http://schemas.microsoft.com/office/drawing/2014/main" id="{1176EA55-2C3B-40BF-A1BD-E62CBC47ED1E}"/>
            </a:ext>
          </a:extLst>
        </xdr:cNvPr>
        <xdr:cNvSpPr txBox="1"/>
      </xdr:nvSpPr>
      <xdr:spPr>
        <a:xfrm>
          <a:off x="2790016" y="5787670"/>
          <a:ext cx="1532963" cy="8964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rPr>
            <a:t>18.</a:t>
          </a:r>
          <a:r>
            <a:rPr lang="en-AU" sz="1000" baseline="0">
              <a:solidFill>
                <a:schemeClr val="bg1">
                  <a:lumMod val="95000"/>
                </a:schemeClr>
              </a:solidFill>
              <a:effectLst/>
            </a:rPr>
            <a:t> Current pump efficiency </a:t>
          </a:r>
        </a:p>
        <a:p>
          <a:r>
            <a:rPr lang="en-AU" sz="1000" baseline="0">
              <a:solidFill>
                <a:schemeClr val="bg1">
                  <a:lumMod val="95000"/>
                </a:schemeClr>
              </a:solidFill>
              <a:effectLst/>
            </a:rPr>
            <a:t>Red = poor &lt;70%</a:t>
          </a:r>
        </a:p>
        <a:p>
          <a:r>
            <a:rPr lang="en-AU" sz="1000" baseline="0">
              <a:solidFill>
                <a:schemeClr val="lt1"/>
              </a:solidFill>
              <a:effectLst/>
              <a:latin typeface="+mn-lt"/>
              <a:ea typeface="+mn-ea"/>
              <a:cs typeface="+mn-cs"/>
            </a:rPr>
            <a:t>Green</a:t>
          </a:r>
          <a:r>
            <a:rPr lang="en-AU" sz="1000" baseline="0">
              <a:solidFill>
                <a:schemeClr val="bg1">
                  <a:lumMod val="95000"/>
                </a:schemeClr>
              </a:solidFill>
              <a:effectLst/>
            </a:rPr>
            <a:t>= good 70-80%</a:t>
          </a:r>
        </a:p>
        <a:p>
          <a:r>
            <a:rPr lang="en-AU" sz="1000" baseline="0">
              <a:solidFill>
                <a:schemeClr val="bg1">
                  <a:lumMod val="95000"/>
                </a:schemeClr>
              </a:solidFill>
              <a:effectLst/>
            </a:rPr>
            <a:t>Green = Excellent &gt;90%</a:t>
          </a:r>
        </a:p>
        <a:p>
          <a:r>
            <a:rPr lang="en-AU" sz="1000" baseline="0">
              <a:solidFill>
                <a:schemeClr val="bg1">
                  <a:lumMod val="95000"/>
                </a:schemeClr>
              </a:solidFill>
              <a:effectLst/>
            </a:rPr>
            <a:t>Yellow = Error &gt;100%</a:t>
          </a:r>
          <a:endParaRPr lang="en-AU" sz="1000">
            <a:solidFill>
              <a:schemeClr val="bg1">
                <a:lumMod val="95000"/>
              </a:schemeClr>
            </a:solidFill>
            <a:effectLst/>
          </a:endParaRPr>
        </a:p>
      </xdr:txBody>
    </xdr:sp>
    <xdr:clientData/>
  </xdr:twoCellAnchor>
  <xdr:twoCellAnchor>
    <xdr:from>
      <xdr:col>17</xdr:col>
      <xdr:colOff>561231</xdr:colOff>
      <xdr:row>15</xdr:row>
      <xdr:rowOff>178534</xdr:rowOff>
    </xdr:from>
    <xdr:to>
      <xdr:col>22</xdr:col>
      <xdr:colOff>206031</xdr:colOff>
      <xdr:row>20</xdr:row>
      <xdr:rowOff>79291</xdr:rowOff>
    </xdr:to>
    <xdr:sp macro="" textlink="">
      <xdr:nvSpPr>
        <xdr:cNvPr id="11" name="TextBox 18">
          <a:extLst>
            <a:ext uri="{FF2B5EF4-FFF2-40B4-BE49-F238E27FC236}">
              <a16:creationId xmlns:a16="http://schemas.microsoft.com/office/drawing/2014/main" id="{2EA53046-60E3-48B9-BD70-1113DD6CD4B4}"/>
            </a:ext>
          </a:extLst>
        </xdr:cNvPr>
        <xdr:cNvSpPr txBox="1"/>
      </xdr:nvSpPr>
      <xdr:spPr>
        <a:xfrm>
          <a:off x="10467231" y="2931259"/>
          <a:ext cx="2692800" cy="853257"/>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10. Warning</a:t>
          </a:r>
          <a:r>
            <a:rPr lang="en-AU" sz="1000" baseline="0">
              <a:solidFill>
                <a:schemeClr val="lt1"/>
              </a:solidFill>
              <a:effectLst/>
              <a:latin typeface="+mn-lt"/>
              <a:ea typeface="+mn-ea"/>
              <a:cs typeface="+mn-cs"/>
            </a:rPr>
            <a:t> shown if residual pressure is too low. Potential energy cost savings are reduced because pressure at the end should be increased to improve uniformity. This will increase energy costs.</a:t>
          </a:r>
        </a:p>
        <a:p>
          <a:endParaRPr lang="en-AU" sz="1000">
            <a:solidFill>
              <a:schemeClr val="lt1"/>
            </a:solidFill>
            <a:effectLst/>
            <a:latin typeface="+mn-lt"/>
            <a:ea typeface="+mn-ea"/>
            <a:cs typeface="+mn-cs"/>
          </a:endParaRPr>
        </a:p>
      </xdr:txBody>
    </xdr:sp>
    <xdr:clientData/>
  </xdr:twoCellAnchor>
  <xdr:twoCellAnchor>
    <xdr:from>
      <xdr:col>17</xdr:col>
      <xdr:colOff>561231</xdr:colOff>
      <xdr:row>2</xdr:row>
      <xdr:rowOff>152398</xdr:rowOff>
    </xdr:from>
    <xdr:to>
      <xdr:col>22</xdr:col>
      <xdr:colOff>206031</xdr:colOff>
      <xdr:row>6</xdr:row>
      <xdr:rowOff>54753</xdr:rowOff>
    </xdr:to>
    <xdr:sp macro="" textlink="">
      <xdr:nvSpPr>
        <xdr:cNvPr id="12" name="TextBox 11">
          <a:extLst>
            <a:ext uri="{FF2B5EF4-FFF2-40B4-BE49-F238E27FC236}">
              <a16:creationId xmlns:a16="http://schemas.microsoft.com/office/drawing/2014/main" id="{A8057428-458C-4A26-8E2E-D400E5B07D8E}"/>
            </a:ext>
          </a:extLst>
        </xdr:cNvPr>
        <xdr:cNvSpPr txBox="1"/>
      </xdr:nvSpPr>
      <xdr:spPr>
        <a:xfrm>
          <a:off x="10467231" y="428623"/>
          <a:ext cx="2692800" cy="66435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rPr>
            <a:t>7. Warning shown if the  gun</a:t>
          </a:r>
          <a:r>
            <a:rPr lang="en-AU" sz="1000" baseline="0">
              <a:solidFill>
                <a:schemeClr val="bg1">
                  <a:lumMod val="95000"/>
                </a:schemeClr>
              </a:solidFill>
              <a:effectLst/>
            </a:rPr>
            <a:t> pressure is outside the manufacturer's specified operating range. Estimated gun throw distance may be inaccurate. </a:t>
          </a:r>
          <a:endParaRPr lang="en-AU" sz="1000">
            <a:solidFill>
              <a:schemeClr val="bg1">
                <a:lumMod val="95000"/>
              </a:schemeClr>
            </a:solidFill>
            <a:effectLst/>
          </a:endParaRPr>
        </a:p>
      </xdr:txBody>
    </xdr:sp>
    <xdr:clientData/>
  </xdr:twoCellAnchor>
  <xdr:twoCellAnchor>
    <xdr:from>
      <xdr:col>17</xdr:col>
      <xdr:colOff>561231</xdr:colOff>
      <xdr:row>28</xdr:row>
      <xdr:rowOff>104946</xdr:rowOff>
    </xdr:from>
    <xdr:to>
      <xdr:col>22</xdr:col>
      <xdr:colOff>206031</xdr:colOff>
      <xdr:row>32</xdr:row>
      <xdr:rowOff>91256</xdr:rowOff>
    </xdr:to>
    <xdr:sp macro="" textlink="">
      <xdr:nvSpPr>
        <xdr:cNvPr id="13" name="TextBox 25">
          <a:extLst>
            <a:ext uri="{FF2B5EF4-FFF2-40B4-BE49-F238E27FC236}">
              <a16:creationId xmlns:a16="http://schemas.microsoft.com/office/drawing/2014/main" id="{A1792E12-6469-430D-9E91-BD19DA179A59}"/>
            </a:ext>
          </a:extLst>
        </xdr:cNvPr>
        <xdr:cNvSpPr txBox="1"/>
      </xdr:nvSpPr>
      <xdr:spPr>
        <a:xfrm>
          <a:off x="10467231" y="5334171"/>
          <a:ext cx="2692800" cy="74831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16. Estimated head</a:t>
          </a:r>
          <a:r>
            <a:rPr lang="en-AU" sz="1000" baseline="0">
              <a:solidFill>
                <a:schemeClr val="lt1"/>
              </a:solidFill>
              <a:effectLst/>
              <a:latin typeface="+mn-lt"/>
              <a:ea typeface="+mn-ea"/>
              <a:cs typeface="+mn-cs"/>
            </a:rPr>
            <a:t> loss in the mainline</a:t>
          </a:r>
        </a:p>
        <a:p>
          <a:r>
            <a:rPr lang="en-AU" sz="1000" baseline="0">
              <a:solidFill>
                <a:schemeClr val="lt1"/>
              </a:solidFill>
              <a:effectLst/>
              <a:latin typeface="+mn-lt"/>
              <a:ea typeface="+mn-ea"/>
              <a:cs typeface="+mn-cs"/>
            </a:rPr>
            <a:t>17. Potential annual cost savings if head loss is reduced to 'target' by increasing pipe size. The target is estimated based on the size of the pivot.</a:t>
          </a:r>
        </a:p>
      </xdr:txBody>
    </xdr:sp>
    <xdr:clientData/>
  </xdr:twoCellAnchor>
  <xdr:twoCellAnchor>
    <xdr:from>
      <xdr:col>14</xdr:col>
      <xdr:colOff>350680</xdr:colOff>
      <xdr:row>20</xdr:row>
      <xdr:rowOff>31191</xdr:rowOff>
    </xdr:from>
    <xdr:to>
      <xdr:col>17</xdr:col>
      <xdr:colOff>561231</xdr:colOff>
      <xdr:row>30</xdr:row>
      <xdr:rowOff>98101</xdr:rowOff>
    </xdr:to>
    <xdr:cxnSp macro="">
      <xdr:nvCxnSpPr>
        <xdr:cNvPr id="14" name="Straight Arrow Connector 13">
          <a:extLst>
            <a:ext uri="{FF2B5EF4-FFF2-40B4-BE49-F238E27FC236}">
              <a16:creationId xmlns:a16="http://schemas.microsoft.com/office/drawing/2014/main" id="{5D5F9ACD-A458-4A99-9CAF-99DC66DFC260}"/>
            </a:ext>
          </a:extLst>
        </xdr:cNvPr>
        <xdr:cNvCxnSpPr>
          <a:cxnSpLocks/>
          <a:stCxn id="13" idx="1"/>
          <a:endCxn id="28" idx="1"/>
        </xdr:cNvCxnSpPr>
      </xdr:nvCxnSpPr>
      <xdr:spPr>
        <a:xfrm flipH="1" flipV="1">
          <a:off x="8427880" y="3736416"/>
          <a:ext cx="2039351" cy="1971910"/>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16</xdr:col>
      <xdr:colOff>561233</xdr:colOff>
      <xdr:row>4</xdr:row>
      <xdr:rowOff>103576</xdr:rowOff>
    </xdr:from>
    <xdr:to>
      <xdr:col>17</xdr:col>
      <xdr:colOff>561231</xdr:colOff>
      <xdr:row>13</xdr:row>
      <xdr:rowOff>114072</xdr:rowOff>
    </xdr:to>
    <xdr:cxnSp macro="">
      <xdr:nvCxnSpPr>
        <xdr:cNvPr id="15" name="Straight Arrow Connector 14">
          <a:extLst>
            <a:ext uri="{FF2B5EF4-FFF2-40B4-BE49-F238E27FC236}">
              <a16:creationId xmlns:a16="http://schemas.microsoft.com/office/drawing/2014/main" id="{63AA2C95-4BE9-4809-A18C-7F4EDD4640C6}"/>
            </a:ext>
          </a:extLst>
        </xdr:cNvPr>
        <xdr:cNvCxnSpPr>
          <a:cxnSpLocks/>
          <a:stCxn id="12" idx="1"/>
        </xdr:cNvCxnSpPr>
      </xdr:nvCxnSpPr>
      <xdr:spPr>
        <a:xfrm flipH="1">
          <a:off x="9857633" y="760801"/>
          <a:ext cx="609598" cy="1724996"/>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561231</xdr:colOff>
      <xdr:row>6</xdr:row>
      <xdr:rowOff>111831</xdr:rowOff>
    </xdr:from>
    <xdr:to>
      <xdr:col>22</xdr:col>
      <xdr:colOff>206031</xdr:colOff>
      <xdr:row>13</xdr:row>
      <xdr:rowOff>34263</xdr:rowOff>
    </xdr:to>
    <xdr:sp macro="" textlink="">
      <xdr:nvSpPr>
        <xdr:cNvPr id="16" name="TextBox 40">
          <a:extLst>
            <a:ext uri="{FF2B5EF4-FFF2-40B4-BE49-F238E27FC236}">
              <a16:creationId xmlns:a16="http://schemas.microsoft.com/office/drawing/2014/main" id="{11AB8C32-2215-4532-8886-3FA354825D9C}"/>
            </a:ext>
          </a:extLst>
        </xdr:cNvPr>
        <xdr:cNvSpPr txBox="1"/>
      </xdr:nvSpPr>
      <xdr:spPr>
        <a:xfrm>
          <a:off x="10467231" y="1150056"/>
          <a:ext cx="2692800" cy="1255932"/>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8.</a:t>
          </a:r>
          <a:r>
            <a:rPr lang="en-AU" sz="1000" baseline="0">
              <a:solidFill>
                <a:schemeClr val="bg1">
                  <a:lumMod val="95000"/>
                </a:schemeClr>
              </a:solidFill>
              <a:effectLst/>
              <a:latin typeface="+mn-lt"/>
              <a:ea typeface="+mn-ea"/>
              <a:cs typeface="+mn-cs"/>
            </a:rPr>
            <a:t> Endgun performance.</a:t>
          </a:r>
        </a:p>
        <a:p>
          <a:r>
            <a:rPr lang="en-AU" sz="1000" baseline="0">
              <a:solidFill>
                <a:schemeClr val="bg1">
                  <a:lumMod val="95000"/>
                </a:schemeClr>
              </a:solidFill>
              <a:effectLst/>
              <a:latin typeface="+mn-lt"/>
              <a:ea typeface="+mn-ea"/>
              <a:cs typeface="+mn-cs"/>
            </a:rPr>
            <a:t>Endgun capacity is compared to the rest of the centre pivot system. If there is a significant difference, a red warning appears under the System capacity box.</a:t>
          </a:r>
        </a:p>
        <a:p>
          <a:r>
            <a:rPr lang="en-AU" sz="1000" baseline="0">
              <a:solidFill>
                <a:schemeClr val="bg1">
                  <a:lumMod val="95000"/>
                </a:schemeClr>
              </a:solidFill>
              <a:effectLst/>
              <a:latin typeface="+mn-lt"/>
              <a:ea typeface="+mn-ea"/>
              <a:cs typeface="+mn-cs"/>
            </a:rPr>
            <a:t>Endgun throw distance is estimated at the end of the system diagram.</a:t>
          </a:r>
        </a:p>
      </xdr:txBody>
    </xdr:sp>
    <xdr:clientData/>
  </xdr:twoCellAnchor>
  <xdr:twoCellAnchor>
    <xdr:from>
      <xdr:col>14</xdr:col>
      <xdr:colOff>305712</xdr:colOff>
      <xdr:row>9</xdr:row>
      <xdr:rowOff>168297</xdr:rowOff>
    </xdr:from>
    <xdr:to>
      <xdr:col>17</xdr:col>
      <xdr:colOff>561231</xdr:colOff>
      <xdr:row>17</xdr:row>
      <xdr:rowOff>164264</xdr:rowOff>
    </xdr:to>
    <xdr:cxnSp macro="">
      <xdr:nvCxnSpPr>
        <xdr:cNvPr id="17" name="Straight Arrow Connector 16">
          <a:extLst>
            <a:ext uri="{FF2B5EF4-FFF2-40B4-BE49-F238E27FC236}">
              <a16:creationId xmlns:a16="http://schemas.microsoft.com/office/drawing/2014/main" id="{3B9AC5CA-0433-4B87-AD8A-EFB22090FC48}"/>
            </a:ext>
          </a:extLst>
        </xdr:cNvPr>
        <xdr:cNvCxnSpPr>
          <a:cxnSpLocks/>
          <a:stCxn id="16" idx="1"/>
        </xdr:cNvCxnSpPr>
      </xdr:nvCxnSpPr>
      <xdr:spPr>
        <a:xfrm flipH="1">
          <a:off x="8382912" y="1778022"/>
          <a:ext cx="2084319" cy="151996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xdr:col>
      <xdr:colOff>102869</xdr:colOff>
      <xdr:row>8</xdr:row>
      <xdr:rowOff>75550</xdr:rowOff>
    </xdr:from>
    <xdr:ext cx="2376000" cy="1114424"/>
    <xdr:sp macro="" textlink="">
      <xdr:nvSpPr>
        <xdr:cNvPr id="18" name="TextBox 55">
          <a:extLst>
            <a:ext uri="{FF2B5EF4-FFF2-40B4-BE49-F238E27FC236}">
              <a16:creationId xmlns:a16="http://schemas.microsoft.com/office/drawing/2014/main" id="{1917CB97-23E1-41C7-BCEA-5A88A5BAC133}"/>
            </a:ext>
          </a:extLst>
        </xdr:cNvPr>
        <xdr:cNvSpPr txBox="1"/>
      </xdr:nvSpPr>
      <xdr:spPr>
        <a:xfrm>
          <a:off x="255269" y="1494775"/>
          <a:ext cx="2376000" cy="1114424"/>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2.</a:t>
          </a:r>
          <a:r>
            <a:rPr lang="en-AU" sz="1000" baseline="0">
              <a:solidFill>
                <a:schemeClr val="bg1">
                  <a:lumMod val="95000"/>
                </a:schemeClr>
              </a:solidFill>
              <a:effectLst/>
              <a:latin typeface="+mn-lt"/>
              <a:ea typeface="+mn-ea"/>
              <a:cs typeface="+mn-cs"/>
            </a:rPr>
            <a:t> Estimate of motor load based on motor size and measured power consumption </a:t>
          </a:r>
        </a:p>
        <a:p>
          <a:r>
            <a:rPr lang="en-AU" sz="1000" baseline="0">
              <a:solidFill>
                <a:schemeClr val="bg1">
                  <a:lumMod val="95000"/>
                </a:schemeClr>
              </a:solidFill>
              <a:effectLst/>
              <a:latin typeface="+mn-lt"/>
              <a:ea typeface="+mn-ea"/>
              <a:cs typeface="+mn-cs"/>
            </a:rPr>
            <a:t>(Cell D10).</a:t>
          </a:r>
        </a:p>
        <a:p>
          <a:r>
            <a:rPr lang="en-AU" sz="1000" baseline="0">
              <a:solidFill>
                <a:schemeClr val="bg1">
                  <a:lumMod val="95000"/>
                </a:schemeClr>
              </a:solidFill>
              <a:effectLst/>
              <a:latin typeface="+mn-lt"/>
              <a:ea typeface="+mn-ea"/>
              <a:cs typeface="+mn-cs"/>
            </a:rPr>
            <a:t>Green = good, load from 50-100%</a:t>
          </a:r>
        </a:p>
        <a:p>
          <a:r>
            <a:rPr lang="en-AU" sz="1000" baseline="0">
              <a:solidFill>
                <a:schemeClr val="bg1">
                  <a:lumMod val="95000"/>
                </a:schemeClr>
              </a:solidFill>
              <a:effectLst/>
              <a:latin typeface="+mn-lt"/>
              <a:ea typeface="+mn-ea"/>
              <a:cs typeface="+mn-cs"/>
            </a:rPr>
            <a:t>Red = poor , load less tan 50%</a:t>
          </a:r>
        </a:p>
        <a:p>
          <a:r>
            <a:rPr lang="en-AU" sz="1000" baseline="0">
              <a:solidFill>
                <a:schemeClr val="bg1">
                  <a:lumMod val="95000"/>
                </a:schemeClr>
              </a:solidFill>
              <a:effectLst/>
              <a:latin typeface="+mn-lt"/>
              <a:ea typeface="+mn-ea"/>
              <a:cs typeface="+mn-cs"/>
            </a:rPr>
            <a:t>Yellow = error - load greater than 100%</a:t>
          </a:r>
        </a:p>
      </xdr:txBody>
    </xdr:sp>
    <xdr:clientData/>
  </xdr:oneCellAnchor>
  <xdr:twoCellAnchor>
    <xdr:from>
      <xdr:col>5</xdr:col>
      <xdr:colOff>40469</xdr:colOff>
      <xdr:row>11</xdr:row>
      <xdr:rowOff>61262</xdr:rowOff>
    </xdr:from>
    <xdr:to>
      <xdr:col>6</xdr:col>
      <xdr:colOff>519746</xdr:colOff>
      <xdr:row>17</xdr:row>
      <xdr:rowOff>140948</xdr:rowOff>
    </xdr:to>
    <xdr:cxnSp macro="">
      <xdr:nvCxnSpPr>
        <xdr:cNvPr id="19" name="Straight Arrow Connector 18">
          <a:extLst>
            <a:ext uri="{FF2B5EF4-FFF2-40B4-BE49-F238E27FC236}">
              <a16:creationId xmlns:a16="http://schemas.microsoft.com/office/drawing/2014/main" id="{91409B47-E278-4EAF-8CAF-D757E0FC9FFE}"/>
            </a:ext>
          </a:extLst>
        </xdr:cNvPr>
        <xdr:cNvCxnSpPr>
          <a:stCxn id="18" idx="3"/>
        </xdr:cNvCxnSpPr>
      </xdr:nvCxnSpPr>
      <xdr:spPr>
        <a:xfrm>
          <a:off x="2631269" y="2051987"/>
          <a:ext cx="1088877" cy="1222686"/>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102869</xdr:colOff>
      <xdr:row>14</xdr:row>
      <xdr:rowOff>160623</xdr:rowOff>
    </xdr:from>
    <xdr:to>
      <xdr:col>5</xdr:col>
      <xdr:colOff>40469</xdr:colOff>
      <xdr:row>20</xdr:row>
      <xdr:rowOff>132048</xdr:rowOff>
    </xdr:to>
    <xdr:sp macro="" textlink="">
      <xdr:nvSpPr>
        <xdr:cNvPr id="20" name="TextBox 61">
          <a:extLst>
            <a:ext uri="{FF2B5EF4-FFF2-40B4-BE49-F238E27FC236}">
              <a16:creationId xmlns:a16="http://schemas.microsoft.com/office/drawing/2014/main" id="{628CE912-D55B-4582-B372-D506A3D6FDE4}"/>
            </a:ext>
          </a:extLst>
        </xdr:cNvPr>
        <xdr:cNvSpPr txBox="1"/>
      </xdr:nvSpPr>
      <xdr:spPr>
        <a:xfrm>
          <a:off x="255269" y="2722848"/>
          <a:ext cx="2376000" cy="1114425"/>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3.</a:t>
          </a:r>
          <a:r>
            <a:rPr lang="en-AU" sz="1000" baseline="0">
              <a:solidFill>
                <a:schemeClr val="bg1">
                  <a:lumMod val="95000"/>
                </a:schemeClr>
              </a:solidFill>
              <a:effectLst/>
              <a:latin typeface="+mn-lt"/>
              <a:ea typeface="+mn-ea"/>
              <a:cs typeface="+mn-cs"/>
            </a:rPr>
            <a:t> Graph showing break down of pumping costs in $/year. </a:t>
          </a:r>
        </a:p>
        <a:p>
          <a:r>
            <a:rPr lang="en-AU" sz="1000" baseline="0">
              <a:solidFill>
                <a:schemeClr val="bg1">
                  <a:lumMod val="95000"/>
                </a:schemeClr>
              </a:solidFill>
              <a:effectLst/>
              <a:latin typeface="+mn-lt"/>
              <a:ea typeface="+mn-ea"/>
              <a:cs typeface="+mn-cs"/>
            </a:rPr>
            <a:t>Column 1 - costs for the current system</a:t>
          </a:r>
        </a:p>
        <a:p>
          <a:r>
            <a:rPr lang="en-AU" sz="1000" baseline="0">
              <a:solidFill>
                <a:schemeClr val="bg1">
                  <a:lumMod val="95000"/>
                </a:schemeClr>
              </a:solidFill>
              <a:effectLst/>
              <a:latin typeface="+mn-lt"/>
              <a:ea typeface="+mn-ea"/>
              <a:cs typeface="+mn-cs"/>
            </a:rPr>
            <a:t>Column 2 - potential costs following modification to improve energy efficiency and reduce losses.</a:t>
          </a:r>
        </a:p>
        <a:p>
          <a:endParaRPr lang="en-AU" sz="1000" baseline="0">
            <a:solidFill>
              <a:schemeClr val="bg1">
                <a:lumMod val="95000"/>
              </a:schemeClr>
            </a:solidFill>
            <a:effectLst/>
            <a:latin typeface="+mn-lt"/>
            <a:ea typeface="+mn-ea"/>
            <a:cs typeface="+mn-cs"/>
          </a:endParaRPr>
        </a:p>
        <a:p>
          <a:endParaRPr lang="en-AU" sz="1000" baseline="0">
            <a:solidFill>
              <a:schemeClr val="bg1">
                <a:lumMod val="95000"/>
              </a:schemeClr>
            </a:solidFill>
            <a:effectLst/>
            <a:latin typeface="+mn-lt"/>
            <a:ea typeface="+mn-ea"/>
            <a:cs typeface="+mn-cs"/>
          </a:endParaRPr>
        </a:p>
      </xdr:txBody>
    </xdr:sp>
    <xdr:clientData/>
  </xdr:twoCellAnchor>
  <xdr:twoCellAnchor>
    <xdr:from>
      <xdr:col>5</xdr:col>
      <xdr:colOff>40469</xdr:colOff>
      <xdr:row>17</xdr:row>
      <xdr:rowOff>146336</xdr:rowOff>
    </xdr:from>
    <xdr:to>
      <xdr:col>5</xdr:col>
      <xdr:colOff>594360</xdr:colOff>
      <xdr:row>19</xdr:row>
      <xdr:rowOff>144780</xdr:rowOff>
    </xdr:to>
    <xdr:cxnSp macro="">
      <xdr:nvCxnSpPr>
        <xdr:cNvPr id="21" name="Straight Arrow Connector 20">
          <a:extLst>
            <a:ext uri="{FF2B5EF4-FFF2-40B4-BE49-F238E27FC236}">
              <a16:creationId xmlns:a16="http://schemas.microsoft.com/office/drawing/2014/main" id="{DC0A4661-D111-497A-B887-E277DB6B0FA8}"/>
            </a:ext>
          </a:extLst>
        </xdr:cNvPr>
        <xdr:cNvCxnSpPr>
          <a:cxnSpLocks/>
          <a:stCxn id="20" idx="3"/>
        </xdr:cNvCxnSpPr>
      </xdr:nvCxnSpPr>
      <xdr:spPr>
        <a:xfrm>
          <a:off x="2631269" y="3280061"/>
          <a:ext cx="553891" cy="379444"/>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561231</xdr:colOff>
      <xdr:row>25</xdr:row>
      <xdr:rowOff>47434</xdr:rowOff>
    </xdr:from>
    <xdr:to>
      <xdr:col>22</xdr:col>
      <xdr:colOff>206031</xdr:colOff>
      <xdr:row>28</xdr:row>
      <xdr:rowOff>47868</xdr:rowOff>
    </xdr:to>
    <xdr:sp macro="" textlink="">
      <xdr:nvSpPr>
        <xdr:cNvPr id="22" name="TextBox 103">
          <a:extLst>
            <a:ext uri="{FF2B5EF4-FFF2-40B4-BE49-F238E27FC236}">
              <a16:creationId xmlns:a16="http://schemas.microsoft.com/office/drawing/2014/main" id="{B2BCF475-1E4B-41AD-8390-2DA642CFE48A}"/>
            </a:ext>
          </a:extLst>
        </xdr:cNvPr>
        <xdr:cNvSpPr txBox="1"/>
      </xdr:nvSpPr>
      <xdr:spPr>
        <a:xfrm>
          <a:off x="10467231" y="4705159"/>
          <a:ext cx="2692800" cy="571934"/>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14. Estimated head</a:t>
          </a:r>
          <a:r>
            <a:rPr lang="en-AU" sz="1000" baseline="0">
              <a:solidFill>
                <a:schemeClr val="lt1"/>
              </a:solidFill>
              <a:effectLst/>
              <a:latin typeface="+mn-lt"/>
              <a:ea typeface="+mn-ea"/>
              <a:cs typeface="+mn-cs"/>
            </a:rPr>
            <a:t> loss in the machine boom</a:t>
          </a:r>
        </a:p>
        <a:p>
          <a:r>
            <a:rPr lang="en-AU" sz="1000" baseline="0">
              <a:solidFill>
                <a:schemeClr val="lt1"/>
              </a:solidFill>
              <a:effectLst/>
              <a:latin typeface="+mn-lt"/>
              <a:ea typeface="+mn-ea"/>
              <a:cs typeface="+mn-cs"/>
            </a:rPr>
            <a:t>15. Potential annual cost savings if head loss is reduced to 'target' by increasing pipe size.</a:t>
          </a:r>
        </a:p>
      </xdr:txBody>
    </xdr:sp>
    <xdr:clientData/>
  </xdr:twoCellAnchor>
  <xdr:twoCellAnchor>
    <xdr:from>
      <xdr:col>15</xdr:col>
      <xdr:colOff>395938</xdr:colOff>
      <xdr:row>20</xdr:row>
      <xdr:rowOff>37280</xdr:rowOff>
    </xdr:from>
    <xdr:to>
      <xdr:col>17</xdr:col>
      <xdr:colOff>561231</xdr:colOff>
      <xdr:row>26</xdr:row>
      <xdr:rowOff>142901</xdr:rowOff>
    </xdr:to>
    <xdr:cxnSp macro="">
      <xdr:nvCxnSpPr>
        <xdr:cNvPr id="23" name="Straight Arrow Connector 22">
          <a:extLst>
            <a:ext uri="{FF2B5EF4-FFF2-40B4-BE49-F238E27FC236}">
              <a16:creationId xmlns:a16="http://schemas.microsoft.com/office/drawing/2014/main" id="{BD555AB6-DDFC-4E53-AC13-5B5A97BA778C}"/>
            </a:ext>
          </a:extLst>
        </xdr:cNvPr>
        <xdr:cNvCxnSpPr>
          <a:cxnSpLocks/>
          <a:stCxn id="22" idx="1"/>
          <a:endCxn id="27" idx="1"/>
        </xdr:cNvCxnSpPr>
      </xdr:nvCxnSpPr>
      <xdr:spPr>
        <a:xfrm flipH="1" flipV="1">
          <a:off x="9082738" y="3742505"/>
          <a:ext cx="1384493" cy="1248621"/>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561231</xdr:colOff>
      <xdr:row>20</xdr:row>
      <xdr:rowOff>136369</xdr:rowOff>
    </xdr:from>
    <xdr:to>
      <xdr:col>22</xdr:col>
      <xdr:colOff>206031</xdr:colOff>
      <xdr:row>24</xdr:row>
      <xdr:rowOff>180856</xdr:rowOff>
    </xdr:to>
    <xdr:sp macro="" textlink="">
      <xdr:nvSpPr>
        <xdr:cNvPr id="24" name="TextBox 112">
          <a:extLst>
            <a:ext uri="{FF2B5EF4-FFF2-40B4-BE49-F238E27FC236}">
              <a16:creationId xmlns:a16="http://schemas.microsoft.com/office/drawing/2014/main" id="{DA139BEC-46B5-41E4-8EBD-FF9F7B7108DB}"/>
            </a:ext>
          </a:extLst>
        </xdr:cNvPr>
        <xdr:cNvSpPr txBox="1"/>
      </xdr:nvSpPr>
      <xdr:spPr>
        <a:xfrm>
          <a:off x="10467231" y="3841594"/>
          <a:ext cx="2692800" cy="806487"/>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11. Current</a:t>
          </a:r>
          <a:r>
            <a:rPr lang="en-AU" sz="1000" baseline="0">
              <a:solidFill>
                <a:schemeClr val="lt1"/>
              </a:solidFill>
              <a:effectLst/>
              <a:latin typeface="+mn-lt"/>
              <a:ea typeface="+mn-ea"/>
              <a:cs typeface="+mn-cs"/>
            </a:rPr>
            <a:t> pressure at end of machine</a:t>
          </a:r>
        </a:p>
        <a:p>
          <a:r>
            <a:rPr lang="en-AU" sz="1000" baseline="0">
              <a:solidFill>
                <a:schemeClr val="lt1"/>
              </a:solidFill>
              <a:effectLst/>
              <a:latin typeface="+mn-lt"/>
              <a:ea typeface="+mn-ea"/>
              <a:cs typeface="+mn-cs"/>
            </a:rPr>
            <a:t>12. Optimum pressure based on regulator rating.</a:t>
          </a:r>
        </a:p>
        <a:p>
          <a:pPr marL="0" marR="0" lvl="0" indent="0" defTabSz="914400" eaLnBrk="1" fontAlgn="auto" latinLnBrk="0" hangingPunct="1">
            <a:lnSpc>
              <a:spcPct val="100000"/>
            </a:lnSpc>
            <a:spcBef>
              <a:spcPts val="0"/>
            </a:spcBef>
            <a:spcAft>
              <a:spcPts val="0"/>
            </a:spcAft>
            <a:buClrTx/>
            <a:buSzTx/>
            <a:buFontTx/>
            <a:buNone/>
            <a:tabLst/>
            <a:defRPr/>
          </a:pPr>
          <a:r>
            <a:rPr lang="en-AU" sz="1000" baseline="0">
              <a:solidFill>
                <a:schemeClr val="lt1"/>
              </a:solidFill>
              <a:effectLst/>
              <a:latin typeface="+mn-lt"/>
              <a:ea typeface="+mn-ea"/>
              <a:cs typeface="+mn-cs"/>
            </a:rPr>
            <a:t>13. Potential cost savings (or increase if in red) of achieving optimal pressure at end of system.</a:t>
          </a:r>
          <a:endParaRPr lang="en-AU" sz="1000">
            <a:effectLst/>
          </a:endParaRPr>
        </a:p>
      </xdr:txBody>
    </xdr:sp>
    <xdr:clientData/>
  </xdr:twoCellAnchor>
  <xdr:twoCellAnchor>
    <xdr:from>
      <xdr:col>17</xdr:col>
      <xdr:colOff>439119</xdr:colOff>
      <xdr:row>20</xdr:row>
      <xdr:rowOff>2796</xdr:rowOff>
    </xdr:from>
    <xdr:to>
      <xdr:col>17</xdr:col>
      <xdr:colOff>561231</xdr:colOff>
      <xdr:row>22</xdr:row>
      <xdr:rowOff>158613</xdr:rowOff>
    </xdr:to>
    <xdr:cxnSp macro="">
      <xdr:nvCxnSpPr>
        <xdr:cNvPr id="25" name="Straight Arrow Connector 24">
          <a:extLst>
            <a:ext uri="{FF2B5EF4-FFF2-40B4-BE49-F238E27FC236}">
              <a16:creationId xmlns:a16="http://schemas.microsoft.com/office/drawing/2014/main" id="{F04A9CA8-F773-4272-BA41-BBAEFAEC6E62}"/>
            </a:ext>
          </a:extLst>
        </xdr:cNvPr>
        <xdr:cNvCxnSpPr>
          <a:cxnSpLocks/>
          <a:stCxn id="24" idx="1"/>
          <a:endCxn id="26" idx="1"/>
        </xdr:cNvCxnSpPr>
      </xdr:nvCxnSpPr>
      <xdr:spPr>
        <a:xfrm flipH="1" flipV="1">
          <a:off x="10345119" y="3708021"/>
          <a:ext cx="122112" cy="53681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277194</xdr:colOff>
      <xdr:row>18</xdr:row>
      <xdr:rowOff>170253</xdr:rowOff>
    </xdr:from>
    <xdr:to>
      <xdr:col>17</xdr:col>
      <xdr:colOff>439119</xdr:colOff>
      <xdr:row>21</xdr:row>
      <xdr:rowOff>25838</xdr:rowOff>
    </xdr:to>
    <xdr:sp macro="" textlink="">
      <xdr:nvSpPr>
        <xdr:cNvPr id="26" name="Left Brace 25">
          <a:extLst>
            <a:ext uri="{FF2B5EF4-FFF2-40B4-BE49-F238E27FC236}">
              <a16:creationId xmlns:a16="http://schemas.microsoft.com/office/drawing/2014/main" id="{6D3405C4-8D22-41BE-8595-A00BBA101FB6}"/>
            </a:ext>
          </a:extLst>
        </xdr:cNvPr>
        <xdr:cNvSpPr/>
      </xdr:nvSpPr>
      <xdr:spPr>
        <a:xfrm flipH="1">
          <a:off x="10183194" y="3494478"/>
          <a:ext cx="161925" cy="427085"/>
        </a:xfrm>
        <a:prstGeom prst="leftBrace">
          <a:avLst/>
        </a:prstGeom>
        <a:noFill/>
        <a:ln w="190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15</xdr:col>
      <xdr:colOff>234013</xdr:colOff>
      <xdr:row>19</xdr:row>
      <xdr:rowOff>84668</xdr:rowOff>
    </xdr:from>
    <xdr:to>
      <xdr:col>15</xdr:col>
      <xdr:colOff>395938</xdr:colOff>
      <xdr:row>20</xdr:row>
      <xdr:rowOff>180392</xdr:rowOff>
    </xdr:to>
    <xdr:sp macro="" textlink="">
      <xdr:nvSpPr>
        <xdr:cNvPr id="27" name="Left Brace 26">
          <a:extLst>
            <a:ext uri="{FF2B5EF4-FFF2-40B4-BE49-F238E27FC236}">
              <a16:creationId xmlns:a16="http://schemas.microsoft.com/office/drawing/2014/main" id="{2558C0AA-322D-40F7-8EE6-AAEB5EECD6DB}"/>
            </a:ext>
          </a:extLst>
        </xdr:cNvPr>
        <xdr:cNvSpPr/>
      </xdr:nvSpPr>
      <xdr:spPr>
        <a:xfrm flipH="1">
          <a:off x="8920813" y="3599393"/>
          <a:ext cx="161925" cy="286224"/>
        </a:xfrm>
        <a:prstGeom prst="leftBrace">
          <a:avLst/>
        </a:prstGeom>
        <a:noFill/>
        <a:ln w="190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14</xdr:col>
      <xdr:colOff>188755</xdr:colOff>
      <xdr:row>19</xdr:row>
      <xdr:rowOff>83547</xdr:rowOff>
    </xdr:from>
    <xdr:to>
      <xdr:col>14</xdr:col>
      <xdr:colOff>350680</xdr:colOff>
      <xdr:row>20</xdr:row>
      <xdr:rowOff>169335</xdr:rowOff>
    </xdr:to>
    <xdr:sp macro="" textlink="">
      <xdr:nvSpPr>
        <xdr:cNvPr id="28" name="Left Brace 27">
          <a:extLst>
            <a:ext uri="{FF2B5EF4-FFF2-40B4-BE49-F238E27FC236}">
              <a16:creationId xmlns:a16="http://schemas.microsoft.com/office/drawing/2014/main" id="{44B2D7A4-CD13-49D0-BA5D-4C1B69017B03}"/>
            </a:ext>
          </a:extLst>
        </xdr:cNvPr>
        <xdr:cNvSpPr/>
      </xdr:nvSpPr>
      <xdr:spPr>
        <a:xfrm flipH="1">
          <a:off x="8265955" y="3598272"/>
          <a:ext cx="161925" cy="276288"/>
        </a:xfrm>
        <a:prstGeom prst="leftBrace">
          <a:avLst/>
        </a:prstGeom>
        <a:noFill/>
        <a:ln w="190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11</xdr:col>
      <xdr:colOff>385733</xdr:colOff>
      <xdr:row>19</xdr:row>
      <xdr:rowOff>94463</xdr:rowOff>
    </xdr:from>
    <xdr:to>
      <xdr:col>11</xdr:col>
      <xdr:colOff>519746</xdr:colOff>
      <xdr:row>20</xdr:row>
      <xdr:rowOff>166885</xdr:rowOff>
    </xdr:to>
    <xdr:sp macro="" textlink="">
      <xdr:nvSpPr>
        <xdr:cNvPr id="29" name="Left Brace 28">
          <a:extLst>
            <a:ext uri="{FF2B5EF4-FFF2-40B4-BE49-F238E27FC236}">
              <a16:creationId xmlns:a16="http://schemas.microsoft.com/office/drawing/2014/main" id="{8B9DF7E6-58A2-4910-AE0D-9A0493F0007A}"/>
            </a:ext>
          </a:extLst>
        </xdr:cNvPr>
        <xdr:cNvSpPr/>
      </xdr:nvSpPr>
      <xdr:spPr>
        <a:xfrm>
          <a:off x="6634133" y="3609188"/>
          <a:ext cx="134013" cy="262922"/>
        </a:xfrm>
        <a:prstGeom prst="leftBrace">
          <a:avLst/>
        </a:prstGeom>
        <a:noFill/>
        <a:ln w="190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7</xdr:col>
      <xdr:colOff>554435</xdr:colOff>
      <xdr:row>30</xdr:row>
      <xdr:rowOff>177445</xdr:rowOff>
    </xdr:from>
    <xdr:to>
      <xdr:col>12</xdr:col>
      <xdr:colOff>316647</xdr:colOff>
      <xdr:row>35</xdr:row>
      <xdr:rowOff>121345</xdr:rowOff>
    </xdr:to>
    <xdr:sp macro="" textlink="">
      <xdr:nvSpPr>
        <xdr:cNvPr id="30" name="TextBox 151">
          <a:extLst>
            <a:ext uri="{FF2B5EF4-FFF2-40B4-BE49-F238E27FC236}">
              <a16:creationId xmlns:a16="http://schemas.microsoft.com/office/drawing/2014/main" id="{51C771BF-3320-44FD-B77B-46F13CB0F673}"/>
            </a:ext>
          </a:extLst>
        </xdr:cNvPr>
        <xdr:cNvSpPr txBox="1"/>
      </xdr:nvSpPr>
      <xdr:spPr>
        <a:xfrm>
          <a:off x="4364435" y="5787670"/>
          <a:ext cx="2810212" cy="8964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rPr>
            <a:t>19.</a:t>
          </a:r>
          <a:r>
            <a:rPr lang="en-AU" sz="1000" baseline="0">
              <a:solidFill>
                <a:schemeClr val="bg1">
                  <a:lumMod val="95000"/>
                </a:schemeClr>
              </a:solidFill>
              <a:effectLst/>
            </a:rPr>
            <a:t> Pumping costs ($/ML) at current pump efficiency</a:t>
          </a:r>
        </a:p>
        <a:p>
          <a:r>
            <a:rPr lang="en-AU" sz="1000">
              <a:solidFill>
                <a:schemeClr val="bg1">
                  <a:lumMod val="95000"/>
                </a:schemeClr>
              </a:solidFill>
              <a:effectLst/>
            </a:rPr>
            <a:t>20. Pumping costs ($/ML) at target pump efficiency</a:t>
          </a:r>
        </a:p>
        <a:p>
          <a:r>
            <a:rPr lang="en-AU" sz="1000">
              <a:solidFill>
                <a:schemeClr val="bg1">
                  <a:lumMod val="95000"/>
                </a:schemeClr>
              </a:solidFill>
              <a:effectLst/>
            </a:rPr>
            <a:t>21. Potential energy cost savings</a:t>
          </a:r>
          <a:r>
            <a:rPr lang="en-AU" sz="1000" baseline="0">
              <a:solidFill>
                <a:schemeClr val="bg1">
                  <a:lumMod val="95000"/>
                </a:schemeClr>
              </a:solidFill>
              <a:effectLst/>
            </a:rPr>
            <a:t> from improving pump efficiency to target efficiency</a:t>
          </a:r>
          <a:endParaRPr lang="en-AU" sz="1000">
            <a:solidFill>
              <a:schemeClr val="bg1">
                <a:lumMod val="95000"/>
              </a:schemeClr>
            </a:solidFill>
            <a:effectLst/>
          </a:endParaRPr>
        </a:p>
        <a:p>
          <a:endParaRPr lang="en-AU" sz="1000">
            <a:solidFill>
              <a:schemeClr val="bg1">
                <a:lumMod val="95000"/>
              </a:schemeClr>
            </a:solidFill>
            <a:effectLst/>
          </a:endParaRPr>
        </a:p>
      </xdr:txBody>
    </xdr:sp>
    <xdr:clientData/>
  </xdr:twoCellAnchor>
  <xdr:twoCellAnchor>
    <xdr:from>
      <xdr:col>10</xdr:col>
      <xdr:colOff>130741</xdr:colOff>
      <xdr:row>20</xdr:row>
      <xdr:rowOff>35424</xdr:rowOff>
    </xdr:from>
    <xdr:to>
      <xdr:col>11</xdr:col>
      <xdr:colOff>385733</xdr:colOff>
      <xdr:row>30</xdr:row>
      <xdr:rowOff>177445</xdr:rowOff>
    </xdr:to>
    <xdr:cxnSp macro="">
      <xdr:nvCxnSpPr>
        <xdr:cNvPr id="31" name="Straight Arrow Connector 30">
          <a:extLst>
            <a:ext uri="{FF2B5EF4-FFF2-40B4-BE49-F238E27FC236}">
              <a16:creationId xmlns:a16="http://schemas.microsoft.com/office/drawing/2014/main" id="{D0DD6031-222B-4064-B855-C3721A341A2D}"/>
            </a:ext>
          </a:extLst>
        </xdr:cNvPr>
        <xdr:cNvCxnSpPr>
          <a:cxnSpLocks/>
          <a:stCxn id="30" idx="0"/>
          <a:endCxn id="29" idx="1"/>
        </xdr:cNvCxnSpPr>
      </xdr:nvCxnSpPr>
      <xdr:spPr>
        <a:xfrm flipV="1">
          <a:off x="5769541" y="3740649"/>
          <a:ext cx="864592" cy="2047021"/>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15</xdr:col>
      <xdr:colOff>396970</xdr:colOff>
      <xdr:row>30</xdr:row>
      <xdr:rowOff>177445</xdr:rowOff>
    </xdr:from>
    <xdr:ext cx="1318670" cy="896400"/>
    <xdr:sp macro="" textlink="">
      <xdr:nvSpPr>
        <xdr:cNvPr id="32" name="TextBox 31">
          <a:extLst>
            <a:ext uri="{FF2B5EF4-FFF2-40B4-BE49-F238E27FC236}">
              <a16:creationId xmlns:a16="http://schemas.microsoft.com/office/drawing/2014/main" id="{F04ECC3A-1CB9-47D4-9E36-24A455911D41}"/>
            </a:ext>
          </a:extLst>
        </xdr:cNvPr>
        <xdr:cNvSpPr txBox="1"/>
      </xdr:nvSpPr>
      <xdr:spPr>
        <a:xfrm>
          <a:off x="9083770" y="5787670"/>
          <a:ext cx="1318670" cy="8964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23. Total</a:t>
          </a:r>
          <a:r>
            <a:rPr lang="en-AU" sz="1000" baseline="0">
              <a:solidFill>
                <a:schemeClr val="lt1"/>
              </a:solidFill>
              <a:effectLst/>
              <a:latin typeface="+mn-lt"/>
              <a:ea typeface="+mn-ea"/>
              <a:cs typeface="+mn-cs"/>
            </a:rPr>
            <a:t> potential cost saving by improving all efficiency opportunities and reducing pressure and friction losses.</a:t>
          </a:r>
          <a:endParaRPr lang="en-AU" sz="1000">
            <a:solidFill>
              <a:schemeClr val="bg1">
                <a:lumMod val="95000"/>
              </a:schemeClr>
            </a:solidFill>
            <a:effectLst/>
          </a:endParaRPr>
        </a:p>
      </xdr:txBody>
    </xdr:sp>
    <xdr:clientData/>
  </xdr:oneCellAnchor>
  <xdr:twoCellAnchor>
    <xdr:from>
      <xdr:col>12</xdr:col>
      <xdr:colOff>466725</xdr:colOff>
      <xdr:row>22</xdr:row>
      <xdr:rowOff>85725</xdr:rowOff>
    </xdr:from>
    <xdr:to>
      <xdr:col>16</xdr:col>
      <xdr:colOff>446705</xdr:colOff>
      <xdr:row>30</xdr:row>
      <xdr:rowOff>177445</xdr:rowOff>
    </xdr:to>
    <xdr:cxnSp macro="">
      <xdr:nvCxnSpPr>
        <xdr:cNvPr id="33" name="Straight Arrow Connector 32">
          <a:extLst>
            <a:ext uri="{FF2B5EF4-FFF2-40B4-BE49-F238E27FC236}">
              <a16:creationId xmlns:a16="http://schemas.microsoft.com/office/drawing/2014/main" id="{C838A117-36E3-445D-9B28-C4F939B847CC}"/>
            </a:ext>
          </a:extLst>
        </xdr:cNvPr>
        <xdr:cNvCxnSpPr>
          <a:cxnSpLocks/>
          <a:stCxn id="32" idx="0"/>
        </xdr:cNvCxnSpPr>
      </xdr:nvCxnSpPr>
      <xdr:spPr>
        <a:xfrm flipH="1" flipV="1">
          <a:off x="7324725" y="4171950"/>
          <a:ext cx="2418380" cy="1615720"/>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xdr:col>
      <xdr:colOff>102869</xdr:colOff>
      <xdr:row>26</xdr:row>
      <xdr:rowOff>154037</xdr:rowOff>
    </xdr:from>
    <xdr:ext cx="2376000" cy="446135"/>
    <xdr:sp macro="" textlink="">
      <xdr:nvSpPr>
        <xdr:cNvPr id="34" name="TextBox 33">
          <a:extLst>
            <a:ext uri="{FF2B5EF4-FFF2-40B4-BE49-F238E27FC236}">
              <a16:creationId xmlns:a16="http://schemas.microsoft.com/office/drawing/2014/main" id="{2B601159-84E7-43E7-83A4-71708950310F}"/>
            </a:ext>
          </a:extLst>
        </xdr:cNvPr>
        <xdr:cNvSpPr txBox="1"/>
      </xdr:nvSpPr>
      <xdr:spPr>
        <a:xfrm>
          <a:off x="255269" y="5002262"/>
          <a:ext cx="2376000" cy="44613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5. Drive efficiency saving explaination. If</a:t>
          </a:r>
          <a:r>
            <a:rPr lang="en-AU" sz="1000" baseline="0">
              <a:solidFill>
                <a:schemeClr val="lt1"/>
              </a:solidFill>
              <a:effectLst/>
              <a:latin typeface="+mn-lt"/>
              <a:ea typeface="+mn-ea"/>
              <a:cs typeface="+mn-cs"/>
            </a:rPr>
            <a:t> shown, efficiency </a:t>
          </a:r>
          <a:r>
            <a:rPr lang="en-AU" sz="1000">
              <a:solidFill>
                <a:schemeClr val="lt1"/>
              </a:solidFill>
              <a:effectLst/>
              <a:latin typeface="+mn-lt"/>
              <a:ea typeface="+mn-ea"/>
              <a:cs typeface="+mn-cs"/>
            </a:rPr>
            <a:t>improvement is available.</a:t>
          </a:r>
          <a:endParaRPr lang="en-AU" sz="1000">
            <a:solidFill>
              <a:schemeClr val="bg1">
                <a:lumMod val="95000"/>
              </a:schemeClr>
            </a:solidFill>
            <a:effectLst/>
          </a:endParaRPr>
        </a:p>
      </xdr:txBody>
    </xdr:sp>
    <xdr:clientData/>
  </xdr:oneCellAnchor>
  <xdr:twoCellAnchor>
    <xdr:from>
      <xdr:col>5</xdr:col>
      <xdr:colOff>40469</xdr:colOff>
      <xdr:row>18</xdr:row>
      <xdr:rowOff>4404</xdr:rowOff>
    </xdr:from>
    <xdr:to>
      <xdr:col>8</xdr:col>
      <xdr:colOff>176184</xdr:colOff>
      <xdr:row>27</xdr:row>
      <xdr:rowOff>186605</xdr:rowOff>
    </xdr:to>
    <xdr:cxnSp macro="">
      <xdr:nvCxnSpPr>
        <xdr:cNvPr id="35" name="Straight Arrow Connector 34">
          <a:extLst>
            <a:ext uri="{FF2B5EF4-FFF2-40B4-BE49-F238E27FC236}">
              <a16:creationId xmlns:a16="http://schemas.microsoft.com/office/drawing/2014/main" id="{D48678A9-31F4-49CC-B09A-BBD5D7F09D3D}"/>
            </a:ext>
          </a:extLst>
        </xdr:cNvPr>
        <xdr:cNvCxnSpPr>
          <a:cxnSpLocks/>
          <a:stCxn id="34" idx="3"/>
        </xdr:cNvCxnSpPr>
      </xdr:nvCxnSpPr>
      <xdr:spPr>
        <a:xfrm flipV="1">
          <a:off x="2631269" y="3328629"/>
          <a:ext cx="1964515" cy="1896701"/>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xdr:col>
      <xdr:colOff>102869</xdr:colOff>
      <xdr:row>29</xdr:row>
      <xdr:rowOff>142322</xdr:rowOff>
    </xdr:from>
    <xdr:ext cx="2376000" cy="1139424"/>
    <xdr:sp macro="" textlink="">
      <xdr:nvSpPr>
        <xdr:cNvPr id="36" name="TextBox 35">
          <a:extLst>
            <a:ext uri="{FF2B5EF4-FFF2-40B4-BE49-F238E27FC236}">
              <a16:creationId xmlns:a16="http://schemas.microsoft.com/office/drawing/2014/main" id="{C2AFE84B-8EDF-4646-8F2E-07E491ADAED2}"/>
            </a:ext>
          </a:extLst>
        </xdr:cNvPr>
        <xdr:cNvSpPr txBox="1"/>
      </xdr:nvSpPr>
      <xdr:spPr>
        <a:xfrm>
          <a:off x="255269" y="5562047"/>
          <a:ext cx="2376000" cy="1139424"/>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6. Drive and motor potential annual savings.</a:t>
          </a:r>
        </a:p>
        <a:p>
          <a:r>
            <a:rPr lang="en-AU" sz="1000">
              <a:solidFill>
                <a:schemeClr val="lt1"/>
              </a:solidFill>
              <a:effectLst/>
              <a:latin typeface="+mn-lt"/>
              <a:ea typeface="+mn-ea"/>
              <a:cs typeface="+mn-cs"/>
            </a:rPr>
            <a:t>Drive</a:t>
          </a:r>
          <a:r>
            <a:rPr lang="en-AU" sz="1000" baseline="0">
              <a:solidFill>
                <a:schemeClr val="lt1"/>
              </a:solidFill>
              <a:effectLst/>
              <a:latin typeface="+mn-lt"/>
              <a:ea typeface="+mn-ea"/>
              <a:cs typeface="+mn-cs"/>
            </a:rPr>
            <a:t> savings are based on conversion to direct drive.</a:t>
          </a:r>
        </a:p>
        <a:p>
          <a:r>
            <a:rPr lang="en-AU" sz="1000" baseline="0">
              <a:solidFill>
                <a:schemeClr val="lt1"/>
              </a:solidFill>
              <a:effectLst/>
              <a:latin typeface="+mn-lt"/>
              <a:ea typeface="+mn-ea"/>
              <a:cs typeface="+mn-cs"/>
            </a:rPr>
            <a:t>Motor savings are based on upgrading to a motor with a high efficiency rating for its fuel type (diesel or electricity).</a:t>
          </a:r>
          <a:endParaRPr lang="en-AU" sz="1000">
            <a:solidFill>
              <a:schemeClr val="bg1">
                <a:lumMod val="95000"/>
              </a:schemeClr>
            </a:solidFill>
            <a:effectLst/>
          </a:endParaRPr>
        </a:p>
      </xdr:txBody>
    </xdr:sp>
    <xdr:clientData/>
  </xdr:oneCellAnchor>
  <xdr:twoCellAnchor>
    <xdr:from>
      <xdr:col>4</xdr:col>
      <xdr:colOff>600075</xdr:colOff>
      <xdr:row>20</xdr:row>
      <xdr:rowOff>92497</xdr:rowOff>
    </xdr:from>
    <xdr:to>
      <xdr:col>9</xdr:col>
      <xdr:colOff>123329</xdr:colOff>
      <xdr:row>30</xdr:row>
      <xdr:rowOff>57150</xdr:rowOff>
    </xdr:to>
    <xdr:cxnSp macro="">
      <xdr:nvCxnSpPr>
        <xdr:cNvPr id="37" name="Straight Arrow Connector 36">
          <a:extLst>
            <a:ext uri="{FF2B5EF4-FFF2-40B4-BE49-F238E27FC236}">
              <a16:creationId xmlns:a16="http://schemas.microsoft.com/office/drawing/2014/main" id="{8D03E57E-0E6F-493E-B020-C8D5469E7DB4}"/>
            </a:ext>
          </a:extLst>
        </xdr:cNvPr>
        <xdr:cNvCxnSpPr>
          <a:cxnSpLocks/>
        </xdr:cNvCxnSpPr>
      </xdr:nvCxnSpPr>
      <xdr:spPr>
        <a:xfrm flipV="1">
          <a:off x="2581275" y="3797722"/>
          <a:ext cx="2571254" cy="186965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14</xdr:col>
      <xdr:colOff>292023</xdr:colOff>
      <xdr:row>9</xdr:row>
      <xdr:rowOff>168297</xdr:rowOff>
    </xdr:from>
    <xdr:to>
      <xdr:col>17</xdr:col>
      <xdr:colOff>561231</xdr:colOff>
      <xdr:row>16</xdr:row>
      <xdr:rowOff>31940</xdr:rowOff>
    </xdr:to>
    <xdr:cxnSp macro="">
      <xdr:nvCxnSpPr>
        <xdr:cNvPr id="38" name="Straight Arrow Connector 37">
          <a:extLst>
            <a:ext uri="{FF2B5EF4-FFF2-40B4-BE49-F238E27FC236}">
              <a16:creationId xmlns:a16="http://schemas.microsoft.com/office/drawing/2014/main" id="{FA70B4BB-E05B-4832-BC11-BA974E7880AD}"/>
            </a:ext>
          </a:extLst>
        </xdr:cNvPr>
        <xdr:cNvCxnSpPr>
          <a:cxnSpLocks/>
          <a:stCxn id="16" idx="1"/>
        </xdr:cNvCxnSpPr>
      </xdr:nvCxnSpPr>
      <xdr:spPr>
        <a:xfrm flipH="1">
          <a:off x="8369223" y="1778022"/>
          <a:ext cx="2098008" cy="119714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214455</xdr:colOff>
      <xdr:row>9</xdr:row>
      <xdr:rowOff>168297</xdr:rowOff>
    </xdr:from>
    <xdr:to>
      <xdr:col>17</xdr:col>
      <xdr:colOff>561231</xdr:colOff>
      <xdr:row>10</xdr:row>
      <xdr:rowOff>68444</xdr:rowOff>
    </xdr:to>
    <xdr:cxnSp macro="">
      <xdr:nvCxnSpPr>
        <xdr:cNvPr id="39" name="Straight Arrow Connector 38">
          <a:extLst>
            <a:ext uri="{FF2B5EF4-FFF2-40B4-BE49-F238E27FC236}">
              <a16:creationId xmlns:a16="http://schemas.microsoft.com/office/drawing/2014/main" id="{35D83535-88C6-450B-8085-26F2E2FD150D}"/>
            </a:ext>
          </a:extLst>
        </xdr:cNvPr>
        <xdr:cNvCxnSpPr>
          <a:cxnSpLocks/>
          <a:stCxn id="16" idx="1"/>
        </xdr:cNvCxnSpPr>
      </xdr:nvCxnSpPr>
      <xdr:spPr>
        <a:xfrm flipH="1">
          <a:off x="10120455" y="1778022"/>
          <a:ext cx="346776" cy="9064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12</xdr:col>
      <xdr:colOff>358103</xdr:colOff>
      <xdr:row>30</xdr:row>
      <xdr:rowOff>177445</xdr:rowOff>
    </xdr:from>
    <xdr:to>
      <xdr:col>15</xdr:col>
      <xdr:colOff>355514</xdr:colOff>
      <xdr:row>35</xdr:row>
      <xdr:rowOff>121345</xdr:rowOff>
    </xdr:to>
    <xdr:sp macro="" textlink="">
      <xdr:nvSpPr>
        <xdr:cNvPr id="40" name="TextBox 151">
          <a:extLst>
            <a:ext uri="{FF2B5EF4-FFF2-40B4-BE49-F238E27FC236}">
              <a16:creationId xmlns:a16="http://schemas.microsoft.com/office/drawing/2014/main" id="{EB9C36AA-698E-4B8F-A98D-2576E187B025}"/>
            </a:ext>
          </a:extLst>
        </xdr:cNvPr>
        <xdr:cNvSpPr txBox="1"/>
      </xdr:nvSpPr>
      <xdr:spPr>
        <a:xfrm>
          <a:off x="7216103" y="5787670"/>
          <a:ext cx="1826211" cy="8964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rPr>
            <a:t>22. Warning shown if mainline pressure loss is too high or negative. If loss</a:t>
          </a:r>
          <a:r>
            <a:rPr lang="en-AU" sz="1000" baseline="0">
              <a:solidFill>
                <a:schemeClr val="bg1">
                  <a:lumMod val="95000"/>
                </a:schemeClr>
              </a:solidFill>
              <a:effectLst/>
            </a:rPr>
            <a:t> is negative, check pressure measurements and units.</a:t>
          </a:r>
          <a:endParaRPr lang="en-AU" sz="1000">
            <a:solidFill>
              <a:schemeClr val="bg1">
                <a:lumMod val="95000"/>
              </a:schemeClr>
            </a:solidFill>
            <a:effectLst/>
          </a:endParaRPr>
        </a:p>
      </xdr:txBody>
    </xdr:sp>
    <xdr:clientData/>
  </xdr:twoCellAnchor>
  <xdr:twoCellAnchor>
    <xdr:from>
      <xdr:col>11</xdr:col>
      <xdr:colOff>314325</xdr:colOff>
      <xdr:row>17</xdr:row>
      <xdr:rowOff>152400</xdr:rowOff>
    </xdr:from>
    <xdr:to>
      <xdr:col>14</xdr:col>
      <xdr:colOff>52009</xdr:colOff>
      <xdr:row>30</xdr:row>
      <xdr:rowOff>177445</xdr:rowOff>
    </xdr:to>
    <xdr:cxnSp macro="">
      <xdr:nvCxnSpPr>
        <xdr:cNvPr id="41" name="Straight Arrow Connector 40">
          <a:extLst>
            <a:ext uri="{FF2B5EF4-FFF2-40B4-BE49-F238E27FC236}">
              <a16:creationId xmlns:a16="http://schemas.microsoft.com/office/drawing/2014/main" id="{EB2D0457-18E1-453E-90B3-CD2FDBCDC985}"/>
            </a:ext>
          </a:extLst>
        </xdr:cNvPr>
        <xdr:cNvCxnSpPr>
          <a:cxnSpLocks/>
          <a:stCxn id="40" idx="0"/>
        </xdr:cNvCxnSpPr>
      </xdr:nvCxnSpPr>
      <xdr:spPr>
        <a:xfrm flipH="1" flipV="1">
          <a:off x="6562725" y="3286125"/>
          <a:ext cx="1566484" cy="250154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561231</xdr:colOff>
      <xdr:row>13</xdr:row>
      <xdr:rowOff>91341</xdr:rowOff>
    </xdr:from>
    <xdr:to>
      <xdr:col>22</xdr:col>
      <xdr:colOff>206031</xdr:colOff>
      <xdr:row>15</xdr:row>
      <xdr:rowOff>121456</xdr:rowOff>
    </xdr:to>
    <xdr:sp macro="" textlink="">
      <xdr:nvSpPr>
        <xdr:cNvPr id="42" name="TextBox 18">
          <a:extLst>
            <a:ext uri="{FF2B5EF4-FFF2-40B4-BE49-F238E27FC236}">
              <a16:creationId xmlns:a16="http://schemas.microsoft.com/office/drawing/2014/main" id="{380A08ED-CB0A-473E-B36F-65CE7D02C963}"/>
            </a:ext>
          </a:extLst>
        </xdr:cNvPr>
        <xdr:cNvSpPr txBox="1"/>
      </xdr:nvSpPr>
      <xdr:spPr>
        <a:xfrm>
          <a:off x="10467231" y="2463066"/>
          <a:ext cx="2692800" cy="41111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9. Warning</a:t>
          </a:r>
          <a:r>
            <a:rPr lang="en-AU" sz="1000" baseline="0">
              <a:solidFill>
                <a:schemeClr val="lt1"/>
              </a:solidFill>
              <a:effectLst/>
              <a:latin typeface="+mn-lt"/>
              <a:ea typeface="+mn-ea"/>
              <a:cs typeface="+mn-cs"/>
            </a:rPr>
            <a:t> shown if pressure measurements indicate a gain of pressure along the main boom.</a:t>
          </a:r>
        </a:p>
        <a:p>
          <a:endParaRPr lang="en-AU" sz="1000">
            <a:solidFill>
              <a:schemeClr val="lt1"/>
            </a:solidFill>
            <a:effectLst/>
            <a:latin typeface="+mn-lt"/>
            <a:ea typeface="+mn-ea"/>
            <a:cs typeface="+mn-cs"/>
          </a:endParaRPr>
        </a:p>
      </xdr:txBody>
    </xdr:sp>
    <xdr:clientData/>
  </xdr:twoCellAnchor>
  <xdr:twoCellAnchor editAs="oneCell">
    <xdr:from>
      <xdr:col>12</xdr:col>
      <xdr:colOff>485775</xdr:colOff>
      <xdr:row>13</xdr:row>
      <xdr:rowOff>141240</xdr:rowOff>
    </xdr:from>
    <xdr:to>
      <xdr:col>15</xdr:col>
      <xdr:colOff>123825</xdr:colOff>
      <xdr:row>15</xdr:row>
      <xdr:rowOff>54681</xdr:rowOff>
    </xdr:to>
    <xdr:pic>
      <xdr:nvPicPr>
        <xdr:cNvPr id="53" name="Picture 52">
          <a:extLst>
            <a:ext uri="{FF2B5EF4-FFF2-40B4-BE49-F238E27FC236}">
              <a16:creationId xmlns:a16="http://schemas.microsoft.com/office/drawing/2014/main" id="{4089C472-1290-405F-AAFF-D7028C2FF40B}"/>
            </a:ext>
          </a:extLst>
        </xdr:cNvPr>
        <xdr:cNvPicPr>
          <a:picLocks noChangeAspect="1"/>
        </xdr:cNvPicPr>
      </xdr:nvPicPr>
      <xdr:blipFill>
        <a:blip xmlns:r="http://schemas.openxmlformats.org/officeDocument/2006/relationships" r:embed="rId2"/>
        <a:stretch>
          <a:fillRect/>
        </a:stretch>
      </xdr:blipFill>
      <xdr:spPr>
        <a:xfrm>
          <a:off x="7343775" y="2512965"/>
          <a:ext cx="1466850" cy="294441"/>
        </a:xfrm>
        <a:prstGeom prst="rect">
          <a:avLst/>
        </a:prstGeom>
      </xdr:spPr>
    </xdr:pic>
    <xdr:clientData/>
  </xdr:twoCellAnchor>
  <xdr:twoCellAnchor>
    <xdr:from>
      <xdr:col>15</xdr:col>
      <xdr:colOff>9525</xdr:colOff>
      <xdr:row>14</xdr:row>
      <xdr:rowOff>106399</xdr:rowOff>
    </xdr:from>
    <xdr:to>
      <xdr:col>17</xdr:col>
      <xdr:colOff>561231</xdr:colOff>
      <xdr:row>14</xdr:row>
      <xdr:rowOff>133350</xdr:rowOff>
    </xdr:to>
    <xdr:cxnSp macro="">
      <xdr:nvCxnSpPr>
        <xdr:cNvPr id="43" name="Straight Arrow Connector 42">
          <a:extLst>
            <a:ext uri="{FF2B5EF4-FFF2-40B4-BE49-F238E27FC236}">
              <a16:creationId xmlns:a16="http://schemas.microsoft.com/office/drawing/2014/main" id="{92E8B8EC-2B74-45DF-AF16-B71D2D46A86C}"/>
            </a:ext>
          </a:extLst>
        </xdr:cNvPr>
        <xdr:cNvCxnSpPr>
          <a:cxnSpLocks/>
          <a:stCxn id="42" idx="1"/>
        </xdr:cNvCxnSpPr>
      </xdr:nvCxnSpPr>
      <xdr:spPr>
        <a:xfrm flipH="1">
          <a:off x="8696325" y="2668624"/>
          <a:ext cx="1770906" cy="26951"/>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editAs="oneCell">
    <xdr:from>
      <xdr:col>15</xdr:col>
      <xdr:colOff>323850</xdr:colOff>
      <xdr:row>16</xdr:row>
      <xdr:rowOff>133349</xdr:rowOff>
    </xdr:from>
    <xdr:to>
      <xdr:col>17</xdr:col>
      <xdr:colOff>314325</xdr:colOff>
      <xdr:row>18</xdr:row>
      <xdr:rowOff>37600</xdr:rowOff>
    </xdr:to>
    <xdr:pic>
      <xdr:nvPicPr>
        <xdr:cNvPr id="56" name="Picture 55">
          <a:extLst>
            <a:ext uri="{FF2B5EF4-FFF2-40B4-BE49-F238E27FC236}">
              <a16:creationId xmlns:a16="http://schemas.microsoft.com/office/drawing/2014/main" id="{1703B48B-9929-4286-B7C7-42A082EC1B50}"/>
            </a:ext>
          </a:extLst>
        </xdr:cNvPr>
        <xdr:cNvPicPr>
          <a:picLocks noChangeAspect="1"/>
        </xdr:cNvPicPr>
      </xdr:nvPicPr>
      <xdr:blipFill>
        <a:blip xmlns:r="http://schemas.openxmlformats.org/officeDocument/2006/relationships" r:embed="rId3"/>
        <a:stretch>
          <a:fillRect/>
        </a:stretch>
      </xdr:blipFill>
      <xdr:spPr>
        <a:xfrm>
          <a:off x="9010650" y="3076574"/>
          <a:ext cx="1209675" cy="285251"/>
        </a:xfrm>
        <a:prstGeom prst="rect">
          <a:avLst/>
        </a:prstGeom>
      </xdr:spPr>
    </xdr:pic>
    <xdr:clientData/>
  </xdr:twoCellAnchor>
  <xdr:twoCellAnchor>
    <xdr:from>
      <xdr:col>17</xdr:col>
      <xdr:colOff>104775</xdr:colOff>
      <xdr:row>17</xdr:row>
      <xdr:rowOff>171450</xdr:rowOff>
    </xdr:from>
    <xdr:to>
      <xdr:col>17</xdr:col>
      <xdr:colOff>561231</xdr:colOff>
      <xdr:row>18</xdr:row>
      <xdr:rowOff>33663</xdr:rowOff>
    </xdr:to>
    <xdr:cxnSp macro="">
      <xdr:nvCxnSpPr>
        <xdr:cNvPr id="7" name="Straight Arrow Connector 6">
          <a:extLst>
            <a:ext uri="{FF2B5EF4-FFF2-40B4-BE49-F238E27FC236}">
              <a16:creationId xmlns:a16="http://schemas.microsoft.com/office/drawing/2014/main" id="{7B65A4F9-97D9-4F00-887D-015720CAD122}"/>
            </a:ext>
          </a:extLst>
        </xdr:cNvPr>
        <xdr:cNvCxnSpPr>
          <a:cxnSpLocks/>
          <a:stCxn id="11" idx="1"/>
        </xdr:cNvCxnSpPr>
      </xdr:nvCxnSpPr>
      <xdr:spPr>
        <a:xfrm flipH="1" flipV="1">
          <a:off x="10010775" y="3305175"/>
          <a:ext cx="456456" cy="5271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2</xdr:row>
      <xdr:rowOff>0</xdr:rowOff>
    </xdr:from>
    <xdr:ext cx="13144500" cy="6638927"/>
    <xdr:sp macro="" textlink="">
      <xdr:nvSpPr>
        <xdr:cNvPr id="2" name="TextBox 1">
          <a:extLst>
            <a:ext uri="{FF2B5EF4-FFF2-40B4-BE49-F238E27FC236}">
              <a16:creationId xmlns:a16="http://schemas.microsoft.com/office/drawing/2014/main" id="{F84E9C50-F016-4B52-A622-287D885F781D}"/>
            </a:ext>
          </a:extLst>
        </xdr:cNvPr>
        <xdr:cNvSpPr txBox="1"/>
      </xdr:nvSpPr>
      <xdr:spPr>
        <a:xfrm>
          <a:off x="152400" y="276225"/>
          <a:ext cx="13144500" cy="6638927"/>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lang="en-AU" sz="1100" b="1">
              <a:solidFill>
                <a:schemeClr val="tx2">
                  <a:lumMod val="50000"/>
                </a:schemeClr>
              </a:solidFill>
            </a:rPr>
            <a:t>Report</a:t>
          </a:r>
          <a:r>
            <a:rPr lang="en-AU" sz="1100" b="1" baseline="0">
              <a:solidFill>
                <a:schemeClr val="tx2">
                  <a:lumMod val="50000"/>
                </a:schemeClr>
              </a:solidFill>
            </a:rPr>
            <a:t> interpretation</a:t>
          </a:r>
          <a:endParaRPr lang="en-AU" sz="1100" b="1">
            <a:solidFill>
              <a:schemeClr val="tx2">
                <a:lumMod val="50000"/>
              </a:schemeClr>
            </a:solidFill>
          </a:endParaRPr>
        </a:p>
      </xdr:txBody>
    </xdr:sp>
    <xdr:clientData/>
  </xdr:oneCellAnchor>
  <xdr:twoCellAnchor editAs="oneCell">
    <xdr:from>
      <xdr:col>6</xdr:col>
      <xdr:colOff>80298</xdr:colOff>
      <xdr:row>3</xdr:row>
      <xdr:rowOff>57150</xdr:rowOff>
    </xdr:from>
    <xdr:to>
      <xdr:col>17</xdr:col>
      <xdr:colOff>171449</xdr:colOff>
      <xdr:row>26</xdr:row>
      <xdr:rowOff>135395</xdr:rowOff>
    </xdr:to>
    <xdr:pic>
      <xdr:nvPicPr>
        <xdr:cNvPr id="3" name="Picture 2">
          <a:extLst>
            <a:ext uri="{FF2B5EF4-FFF2-40B4-BE49-F238E27FC236}">
              <a16:creationId xmlns:a16="http://schemas.microsoft.com/office/drawing/2014/main" id="{DA36E9F6-D70B-49D2-814B-8402AF67260D}"/>
            </a:ext>
          </a:extLst>
        </xdr:cNvPr>
        <xdr:cNvPicPr>
          <a:picLocks noChangeAspect="1"/>
        </xdr:cNvPicPr>
      </xdr:nvPicPr>
      <xdr:blipFill>
        <a:blip xmlns:r="http://schemas.openxmlformats.org/officeDocument/2006/relationships" r:embed="rId1"/>
        <a:stretch>
          <a:fillRect/>
        </a:stretch>
      </xdr:blipFill>
      <xdr:spPr>
        <a:xfrm>
          <a:off x="3280698" y="523875"/>
          <a:ext cx="6796751" cy="4459745"/>
        </a:xfrm>
        <a:prstGeom prst="rect">
          <a:avLst/>
        </a:prstGeom>
      </xdr:spPr>
    </xdr:pic>
    <xdr:clientData/>
  </xdr:twoCellAnchor>
  <xdr:oneCellAnchor>
    <xdr:from>
      <xdr:col>1</xdr:col>
      <xdr:colOff>93344</xdr:colOff>
      <xdr:row>24</xdr:row>
      <xdr:rowOff>128989</xdr:rowOff>
    </xdr:from>
    <xdr:ext cx="2376000" cy="937691"/>
    <xdr:sp macro="" textlink="">
      <xdr:nvSpPr>
        <xdr:cNvPr id="4" name="TextBox 3">
          <a:extLst>
            <a:ext uri="{FF2B5EF4-FFF2-40B4-BE49-F238E27FC236}">
              <a16:creationId xmlns:a16="http://schemas.microsoft.com/office/drawing/2014/main" id="{FA200C42-098D-48C4-9A29-9A6E2E4423E4}"/>
            </a:ext>
          </a:extLst>
        </xdr:cNvPr>
        <xdr:cNvSpPr txBox="1"/>
      </xdr:nvSpPr>
      <xdr:spPr>
        <a:xfrm>
          <a:off x="245744" y="4596214"/>
          <a:ext cx="2376000" cy="937691"/>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5. Total</a:t>
          </a:r>
          <a:r>
            <a:rPr lang="en-AU" sz="1000" baseline="0">
              <a:solidFill>
                <a:schemeClr val="lt1"/>
              </a:solidFill>
              <a:effectLst/>
              <a:latin typeface="+mn-lt"/>
              <a:ea typeface="+mn-ea"/>
              <a:cs typeface="+mn-cs"/>
            </a:rPr>
            <a:t> potential cost saving by improving  pump, motor and drive efficiency, reducing pipe line friction losses, and reducing pressure at the end of the pivot (where applicable).</a:t>
          </a:r>
          <a:endParaRPr lang="en-AU" sz="1000">
            <a:solidFill>
              <a:schemeClr val="bg1">
                <a:lumMod val="95000"/>
              </a:schemeClr>
            </a:solidFill>
            <a:effectLst/>
          </a:endParaRPr>
        </a:p>
      </xdr:txBody>
    </xdr:sp>
    <xdr:clientData/>
  </xdr:oneCellAnchor>
  <xdr:twoCellAnchor>
    <xdr:from>
      <xdr:col>5</xdr:col>
      <xdr:colOff>17692</xdr:colOff>
      <xdr:row>9</xdr:row>
      <xdr:rowOff>64032</xdr:rowOff>
    </xdr:from>
    <xdr:to>
      <xdr:col>8</xdr:col>
      <xdr:colOff>438979</xdr:colOff>
      <xdr:row>17</xdr:row>
      <xdr:rowOff>24848</xdr:rowOff>
    </xdr:to>
    <xdr:cxnSp macro="">
      <xdr:nvCxnSpPr>
        <xdr:cNvPr id="5" name="Straight Arrow Connector 4">
          <a:extLst>
            <a:ext uri="{FF2B5EF4-FFF2-40B4-BE49-F238E27FC236}">
              <a16:creationId xmlns:a16="http://schemas.microsoft.com/office/drawing/2014/main" id="{5792540E-20E8-4015-9A8A-B7B612C065E7}"/>
            </a:ext>
          </a:extLst>
        </xdr:cNvPr>
        <xdr:cNvCxnSpPr>
          <a:cxnSpLocks/>
          <a:stCxn id="9" idx="3"/>
        </xdr:cNvCxnSpPr>
      </xdr:nvCxnSpPr>
      <xdr:spPr>
        <a:xfrm>
          <a:off x="2608492" y="1673757"/>
          <a:ext cx="2250087" cy="1484816"/>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5</xdr:col>
      <xdr:colOff>17692</xdr:colOff>
      <xdr:row>22</xdr:row>
      <xdr:rowOff>99391</xdr:rowOff>
    </xdr:from>
    <xdr:to>
      <xdr:col>6</xdr:col>
      <xdr:colOff>588065</xdr:colOff>
      <xdr:row>27</xdr:row>
      <xdr:rowOff>26335</xdr:rowOff>
    </xdr:to>
    <xdr:cxnSp macro="">
      <xdr:nvCxnSpPr>
        <xdr:cNvPr id="6" name="Straight Arrow Connector 5">
          <a:extLst>
            <a:ext uri="{FF2B5EF4-FFF2-40B4-BE49-F238E27FC236}">
              <a16:creationId xmlns:a16="http://schemas.microsoft.com/office/drawing/2014/main" id="{8D3CFE75-0D8F-4836-A47E-533474BDF280}"/>
            </a:ext>
          </a:extLst>
        </xdr:cNvPr>
        <xdr:cNvCxnSpPr>
          <a:cxnSpLocks/>
          <a:stCxn id="4" idx="3"/>
        </xdr:cNvCxnSpPr>
      </xdr:nvCxnSpPr>
      <xdr:spPr>
        <a:xfrm flipV="1">
          <a:off x="2608492" y="4185616"/>
          <a:ext cx="1179973" cy="879444"/>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16</xdr:col>
      <xdr:colOff>364434</xdr:colOff>
      <xdr:row>19</xdr:row>
      <xdr:rowOff>0</xdr:rowOff>
    </xdr:from>
    <xdr:to>
      <xdr:col>17</xdr:col>
      <xdr:colOff>551707</xdr:colOff>
      <xdr:row>21</xdr:row>
      <xdr:rowOff>49205</xdr:rowOff>
    </xdr:to>
    <xdr:cxnSp macro="">
      <xdr:nvCxnSpPr>
        <xdr:cNvPr id="7" name="Straight Arrow Connector 6">
          <a:extLst>
            <a:ext uri="{FF2B5EF4-FFF2-40B4-BE49-F238E27FC236}">
              <a16:creationId xmlns:a16="http://schemas.microsoft.com/office/drawing/2014/main" id="{D890BD6C-7E01-488D-9EFE-A317FECAFDB0}"/>
            </a:ext>
          </a:extLst>
        </xdr:cNvPr>
        <xdr:cNvCxnSpPr>
          <a:cxnSpLocks/>
          <a:stCxn id="11" idx="1"/>
        </xdr:cNvCxnSpPr>
      </xdr:nvCxnSpPr>
      <xdr:spPr>
        <a:xfrm flipH="1" flipV="1">
          <a:off x="9660834" y="3514725"/>
          <a:ext cx="796873" cy="43020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47839</xdr:colOff>
      <xdr:row>21</xdr:row>
      <xdr:rowOff>30079</xdr:rowOff>
    </xdr:from>
    <xdr:to>
      <xdr:col>11</xdr:col>
      <xdr:colOff>235619</xdr:colOff>
      <xdr:row>27</xdr:row>
      <xdr:rowOff>161404</xdr:rowOff>
    </xdr:to>
    <xdr:cxnSp macro="">
      <xdr:nvCxnSpPr>
        <xdr:cNvPr id="8" name="Straight Arrow Connector 7">
          <a:extLst>
            <a:ext uri="{FF2B5EF4-FFF2-40B4-BE49-F238E27FC236}">
              <a16:creationId xmlns:a16="http://schemas.microsoft.com/office/drawing/2014/main" id="{0C1007F3-305E-4565-8882-E874C05D4587}"/>
            </a:ext>
          </a:extLst>
        </xdr:cNvPr>
        <xdr:cNvCxnSpPr>
          <a:cxnSpLocks/>
          <a:stCxn id="10" idx="0"/>
        </xdr:cNvCxnSpPr>
      </xdr:nvCxnSpPr>
      <xdr:spPr>
        <a:xfrm flipV="1">
          <a:off x="5077039" y="3925804"/>
          <a:ext cx="1406980" cy="127432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93344</xdr:colOff>
      <xdr:row>7</xdr:row>
      <xdr:rowOff>49744</xdr:rowOff>
    </xdr:from>
    <xdr:to>
      <xdr:col>5</xdr:col>
      <xdr:colOff>17692</xdr:colOff>
      <xdr:row>11</xdr:row>
      <xdr:rowOff>78320</xdr:rowOff>
    </xdr:to>
    <xdr:sp macro="" textlink="">
      <xdr:nvSpPr>
        <xdr:cNvPr id="9" name="TextBox 9">
          <a:extLst>
            <a:ext uri="{FF2B5EF4-FFF2-40B4-BE49-F238E27FC236}">
              <a16:creationId xmlns:a16="http://schemas.microsoft.com/office/drawing/2014/main" id="{248CE52B-414B-4E46-BDD7-CD6777B6503C}"/>
            </a:ext>
          </a:extLst>
        </xdr:cNvPr>
        <xdr:cNvSpPr txBox="1"/>
      </xdr:nvSpPr>
      <xdr:spPr>
        <a:xfrm>
          <a:off x="245744" y="1278469"/>
          <a:ext cx="2362748" cy="790576"/>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2.</a:t>
          </a:r>
          <a:r>
            <a:rPr lang="en-AU" sz="1000" baseline="0">
              <a:solidFill>
                <a:schemeClr val="bg1">
                  <a:lumMod val="95000"/>
                </a:schemeClr>
              </a:solidFill>
              <a:effectLst/>
              <a:latin typeface="+mn-lt"/>
              <a:ea typeface="+mn-ea"/>
              <a:cs typeface="+mn-cs"/>
            </a:rPr>
            <a:t> Motor load explanation. </a:t>
          </a:r>
        </a:p>
        <a:p>
          <a:r>
            <a:rPr lang="en-AU" sz="1000" baseline="0">
              <a:solidFill>
                <a:schemeClr val="bg1">
                  <a:lumMod val="95000"/>
                </a:schemeClr>
              </a:solidFill>
              <a:effectLst/>
              <a:latin typeface="+mn-lt"/>
              <a:ea typeface="+mn-ea"/>
              <a:cs typeface="+mn-cs"/>
            </a:rPr>
            <a:t>Green = good, load from 50-100%</a:t>
          </a:r>
        </a:p>
        <a:p>
          <a:r>
            <a:rPr lang="en-AU" sz="1000" baseline="0">
              <a:solidFill>
                <a:schemeClr val="bg1">
                  <a:lumMod val="95000"/>
                </a:schemeClr>
              </a:solidFill>
              <a:effectLst/>
              <a:latin typeface="+mn-lt"/>
              <a:ea typeface="+mn-ea"/>
              <a:cs typeface="+mn-cs"/>
            </a:rPr>
            <a:t>Red = poor , load less than 50%</a:t>
          </a:r>
        </a:p>
        <a:p>
          <a:r>
            <a:rPr lang="en-AU" sz="1000" baseline="0">
              <a:solidFill>
                <a:schemeClr val="bg1">
                  <a:lumMod val="95000"/>
                </a:schemeClr>
              </a:solidFill>
              <a:effectLst/>
              <a:latin typeface="+mn-lt"/>
              <a:ea typeface="+mn-ea"/>
              <a:cs typeface="+mn-cs"/>
            </a:rPr>
            <a:t>Yellow = error - load greater than 100%</a:t>
          </a:r>
        </a:p>
        <a:p>
          <a:endParaRPr lang="en-AU" sz="1000" baseline="0">
            <a:solidFill>
              <a:schemeClr val="bg1">
                <a:lumMod val="95000"/>
              </a:schemeClr>
            </a:solidFill>
            <a:effectLst/>
            <a:latin typeface="+mn-lt"/>
            <a:ea typeface="+mn-ea"/>
            <a:cs typeface="+mn-cs"/>
          </a:endParaRPr>
        </a:p>
      </xdr:txBody>
    </xdr:sp>
    <xdr:clientData/>
  </xdr:twoCellAnchor>
  <xdr:twoCellAnchor>
    <xdr:from>
      <xdr:col>8</xdr:col>
      <xdr:colOff>6426</xdr:colOff>
      <xdr:row>27</xdr:row>
      <xdr:rowOff>161404</xdr:rowOff>
    </xdr:from>
    <xdr:to>
      <xdr:col>10</xdr:col>
      <xdr:colOff>89251</xdr:colOff>
      <xdr:row>35</xdr:row>
      <xdr:rowOff>27004</xdr:rowOff>
    </xdr:to>
    <xdr:sp macro="" textlink="">
      <xdr:nvSpPr>
        <xdr:cNvPr id="10" name="TextBox 9">
          <a:extLst>
            <a:ext uri="{FF2B5EF4-FFF2-40B4-BE49-F238E27FC236}">
              <a16:creationId xmlns:a16="http://schemas.microsoft.com/office/drawing/2014/main" id="{161978CF-4990-4D88-A785-45C43C951E8B}"/>
            </a:ext>
          </a:extLst>
        </xdr:cNvPr>
        <xdr:cNvSpPr txBox="1"/>
      </xdr:nvSpPr>
      <xdr:spPr>
        <a:xfrm>
          <a:off x="4426026" y="5200129"/>
          <a:ext cx="1302025" cy="13896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rPr>
            <a:t>20.</a:t>
          </a:r>
          <a:r>
            <a:rPr lang="en-AU" sz="1000" baseline="0">
              <a:solidFill>
                <a:schemeClr val="bg1">
                  <a:lumMod val="95000"/>
                </a:schemeClr>
              </a:solidFill>
              <a:effectLst/>
            </a:rPr>
            <a:t> Current pump efficiency </a:t>
          </a:r>
        </a:p>
        <a:p>
          <a:r>
            <a:rPr lang="en-AU" sz="1000" baseline="0">
              <a:solidFill>
                <a:schemeClr val="bg1">
                  <a:lumMod val="95000"/>
                </a:schemeClr>
              </a:solidFill>
              <a:effectLst/>
            </a:rPr>
            <a:t>Red = poor &lt;70%</a:t>
          </a:r>
        </a:p>
        <a:p>
          <a:r>
            <a:rPr lang="en-AU" sz="1000" baseline="0">
              <a:solidFill>
                <a:schemeClr val="lt1"/>
              </a:solidFill>
              <a:effectLst/>
              <a:latin typeface="+mn-lt"/>
              <a:ea typeface="+mn-ea"/>
              <a:cs typeface="+mn-cs"/>
            </a:rPr>
            <a:t>Green</a:t>
          </a:r>
          <a:r>
            <a:rPr lang="en-AU" sz="1000" baseline="0">
              <a:solidFill>
                <a:schemeClr val="bg1">
                  <a:lumMod val="95000"/>
                </a:schemeClr>
              </a:solidFill>
              <a:effectLst/>
            </a:rPr>
            <a:t>= good 70-80%</a:t>
          </a:r>
        </a:p>
        <a:p>
          <a:r>
            <a:rPr lang="en-AU" sz="1000" baseline="0">
              <a:solidFill>
                <a:schemeClr val="bg1">
                  <a:lumMod val="95000"/>
                </a:schemeClr>
              </a:solidFill>
              <a:effectLst/>
            </a:rPr>
            <a:t>Green = Excellent &gt;90%</a:t>
          </a:r>
        </a:p>
        <a:p>
          <a:r>
            <a:rPr lang="en-AU" sz="1000" baseline="0">
              <a:solidFill>
                <a:schemeClr val="bg1">
                  <a:lumMod val="95000"/>
                </a:schemeClr>
              </a:solidFill>
              <a:effectLst/>
            </a:rPr>
            <a:t>Yellow = Error &gt;100%</a:t>
          </a:r>
          <a:endParaRPr lang="en-AU" sz="1000">
            <a:solidFill>
              <a:schemeClr val="bg1">
                <a:lumMod val="95000"/>
              </a:schemeClr>
            </a:solidFill>
            <a:effectLst/>
          </a:endParaRPr>
        </a:p>
      </xdr:txBody>
    </xdr:sp>
    <xdr:clientData/>
  </xdr:twoCellAnchor>
  <xdr:twoCellAnchor>
    <xdr:from>
      <xdr:col>17</xdr:col>
      <xdr:colOff>551707</xdr:colOff>
      <xdr:row>19</xdr:row>
      <xdr:rowOff>3576</xdr:rowOff>
    </xdr:from>
    <xdr:to>
      <xdr:col>22</xdr:col>
      <xdr:colOff>194342</xdr:colOff>
      <xdr:row>23</xdr:row>
      <xdr:rowOff>94833</xdr:rowOff>
    </xdr:to>
    <xdr:sp macro="" textlink="">
      <xdr:nvSpPr>
        <xdr:cNvPr id="11" name="TextBox 18">
          <a:extLst>
            <a:ext uri="{FF2B5EF4-FFF2-40B4-BE49-F238E27FC236}">
              <a16:creationId xmlns:a16="http://schemas.microsoft.com/office/drawing/2014/main" id="{10AB3434-C436-4381-A056-E496C83D9228}"/>
            </a:ext>
          </a:extLst>
        </xdr:cNvPr>
        <xdr:cNvSpPr txBox="1"/>
      </xdr:nvSpPr>
      <xdr:spPr>
        <a:xfrm>
          <a:off x="10457707" y="3518301"/>
          <a:ext cx="2690635" cy="853257"/>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11. Warning</a:t>
          </a:r>
          <a:r>
            <a:rPr lang="en-AU" sz="1000" baseline="0">
              <a:solidFill>
                <a:schemeClr val="lt1"/>
              </a:solidFill>
              <a:effectLst/>
              <a:latin typeface="+mn-lt"/>
              <a:ea typeface="+mn-ea"/>
              <a:cs typeface="+mn-cs"/>
            </a:rPr>
            <a:t> shown if residual pressure is too low. Potential energy cost savings are reduced because pressure at the end should be increased to improve uniformity. This will increase energy costs.</a:t>
          </a:r>
        </a:p>
        <a:p>
          <a:endParaRPr lang="en-AU" sz="1000">
            <a:solidFill>
              <a:schemeClr val="lt1"/>
            </a:solidFill>
            <a:effectLst/>
            <a:latin typeface="+mn-lt"/>
            <a:ea typeface="+mn-ea"/>
            <a:cs typeface="+mn-cs"/>
          </a:endParaRPr>
        </a:p>
      </xdr:txBody>
    </xdr:sp>
    <xdr:clientData/>
  </xdr:twoCellAnchor>
  <xdr:twoCellAnchor>
    <xdr:from>
      <xdr:col>17</xdr:col>
      <xdr:colOff>551707</xdr:colOff>
      <xdr:row>4</xdr:row>
      <xdr:rowOff>159019</xdr:rowOff>
    </xdr:from>
    <xdr:to>
      <xdr:col>22</xdr:col>
      <xdr:colOff>194342</xdr:colOff>
      <xdr:row>7</xdr:row>
      <xdr:rowOff>167302</xdr:rowOff>
    </xdr:to>
    <xdr:sp macro="" textlink="">
      <xdr:nvSpPr>
        <xdr:cNvPr id="12" name="TextBox 11">
          <a:extLst>
            <a:ext uri="{FF2B5EF4-FFF2-40B4-BE49-F238E27FC236}">
              <a16:creationId xmlns:a16="http://schemas.microsoft.com/office/drawing/2014/main" id="{4A08DE0A-9454-4AA0-8299-493CAB25250B}"/>
            </a:ext>
          </a:extLst>
        </xdr:cNvPr>
        <xdr:cNvSpPr txBox="1"/>
      </xdr:nvSpPr>
      <xdr:spPr>
        <a:xfrm>
          <a:off x="10457707" y="816244"/>
          <a:ext cx="2690635" cy="579783"/>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rPr>
            <a:t>8. Warning shown if the  gun</a:t>
          </a:r>
          <a:r>
            <a:rPr lang="en-AU" sz="1000" baseline="0">
              <a:solidFill>
                <a:schemeClr val="bg1">
                  <a:lumMod val="95000"/>
                </a:schemeClr>
              </a:solidFill>
              <a:effectLst/>
            </a:rPr>
            <a:t> pressure is outside the manufacturer's specified operating range. Estimated gun throw distance may be inaccurate. </a:t>
          </a:r>
          <a:endParaRPr lang="en-AU" sz="1000">
            <a:solidFill>
              <a:schemeClr val="bg1">
                <a:lumMod val="95000"/>
              </a:schemeClr>
            </a:solidFill>
            <a:effectLst/>
          </a:endParaRPr>
        </a:p>
      </xdr:txBody>
    </xdr:sp>
    <xdr:clientData/>
  </xdr:twoCellAnchor>
  <xdr:twoCellAnchor>
    <xdr:from>
      <xdr:col>17</xdr:col>
      <xdr:colOff>551707</xdr:colOff>
      <xdr:row>31</xdr:row>
      <xdr:rowOff>103292</xdr:rowOff>
    </xdr:from>
    <xdr:to>
      <xdr:col>22</xdr:col>
      <xdr:colOff>194342</xdr:colOff>
      <xdr:row>35</xdr:row>
      <xdr:rowOff>89602</xdr:rowOff>
    </xdr:to>
    <xdr:sp macro="" textlink="">
      <xdr:nvSpPr>
        <xdr:cNvPr id="13" name="TextBox 25">
          <a:extLst>
            <a:ext uri="{FF2B5EF4-FFF2-40B4-BE49-F238E27FC236}">
              <a16:creationId xmlns:a16="http://schemas.microsoft.com/office/drawing/2014/main" id="{7B355823-14AE-4EE9-BE2E-DE4CC638BF7C}"/>
            </a:ext>
          </a:extLst>
        </xdr:cNvPr>
        <xdr:cNvSpPr txBox="1"/>
      </xdr:nvSpPr>
      <xdr:spPr>
        <a:xfrm>
          <a:off x="10457707" y="5904017"/>
          <a:ext cx="2690635" cy="74831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17. Estimated head</a:t>
          </a:r>
          <a:r>
            <a:rPr lang="en-AU" sz="1000" baseline="0">
              <a:solidFill>
                <a:schemeClr val="lt1"/>
              </a:solidFill>
              <a:effectLst/>
              <a:latin typeface="+mn-lt"/>
              <a:ea typeface="+mn-ea"/>
              <a:cs typeface="+mn-cs"/>
            </a:rPr>
            <a:t> loss in the mainline</a:t>
          </a:r>
        </a:p>
        <a:p>
          <a:r>
            <a:rPr lang="en-AU" sz="1000" baseline="0">
              <a:solidFill>
                <a:schemeClr val="lt1"/>
              </a:solidFill>
              <a:effectLst/>
              <a:latin typeface="+mn-lt"/>
              <a:ea typeface="+mn-ea"/>
              <a:cs typeface="+mn-cs"/>
            </a:rPr>
            <a:t>18. Potential annual cost savings if head loss is reduced to 'target' by increasing pipe size. The target is estimated based on the size of the pivot.</a:t>
          </a:r>
        </a:p>
      </xdr:txBody>
    </xdr:sp>
    <xdr:clientData/>
  </xdr:twoCellAnchor>
  <xdr:twoCellAnchor>
    <xdr:from>
      <xdr:col>14</xdr:col>
      <xdr:colOff>401314</xdr:colOff>
      <xdr:row>21</xdr:row>
      <xdr:rowOff>105389</xdr:rowOff>
    </xdr:from>
    <xdr:to>
      <xdr:col>17</xdr:col>
      <xdr:colOff>551708</xdr:colOff>
      <xdr:row>33</xdr:row>
      <xdr:rowOff>96448</xdr:rowOff>
    </xdr:to>
    <xdr:cxnSp macro="">
      <xdr:nvCxnSpPr>
        <xdr:cNvPr id="14" name="Straight Arrow Connector 45">
          <a:extLst>
            <a:ext uri="{FF2B5EF4-FFF2-40B4-BE49-F238E27FC236}">
              <a16:creationId xmlns:a16="http://schemas.microsoft.com/office/drawing/2014/main" id="{E362AE4B-E7AD-408D-9A97-DE0AE6C0AA5A}"/>
            </a:ext>
          </a:extLst>
        </xdr:cNvPr>
        <xdr:cNvCxnSpPr>
          <a:cxnSpLocks/>
          <a:stCxn id="13" idx="1"/>
          <a:endCxn id="28" idx="1"/>
        </xdr:cNvCxnSpPr>
      </xdr:nvCxnSpPr>
      <xdr:spPr>
        <a:xfrm rot="10800000">
          <a:off x="8478514" y="4001114"/>
          <a:ext cx="1979194" cy="2277059"/>
        </a:xfrm>
        <a:prstGeom prst="curvedConnector3">
          <a:avLst>
            <a:gd name="adj1" fmla="val 2585"/>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16</xdr:col>
      <xdr:colOff>551708</xdr:colOff>
      <xdr:row>6</xdr:row>
      <xdr:rowOff>67911</xdr:rowOff>
    </xdr:from>
    <xdr:to>
      <xdr:col>17</xdr:col>
      <xdr:colOff>551707</xdr:colOff>
      <xdr:row>13</xdr:row>
      <xdr:rowOff>37874</xdr:rowOff>
    </xdr:to>
    <xdr:cxnSp macro="">
      <xdr:nvCxnSpPr>
        <xdr:cNvPr id="15" name="Straight Arrow Connector 14">
          <a:extLst>
            <a:ext uri="{FF2B5EF4-FFF2-40B4-BE49-F238E27FC236}">
              <a16:creationId xmlns:a16="http://schemas.microsoft.com/office/drawing/2014/main" id="{2DE0FA2E-6ABF-4154-917E-9506B240F03D}"/>
            </a:ext>
          </a:extLst>
        </xdr:cNvPr>
        <xdr:cNvCxnSpPr>
          <a:cxnSpLocks/>
          <a:stCxn id="12" idx="1"/>
        </xdr:cNvCxnSpPr>
      </xdr:nvCxnSpPr>
      <xdr:spPr>
        <a:xfrm flipH="1">
          <a:off x="9848108" y="1106136"/>
          <a:ext cx="609599" cy="130346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551707</xdr:colOff>
      <xdr:row>12</xdr:row>
      <xdr:rowOff>29798</xdr:rowOff>
    </xdr:from>
    <xdr:to>
      <xdr:col>22</xdr:col>
      <xdr:colOff>194342</xdr:colOff>
      <xdr:row>18</xdr:row>
      <xdr:rowOff>142730</xdr:rowOff>
    </xdr:to>
    <xdr:sp macro="" textlink="">
      <xdr:nvSpPr>
        <xdr:cNvPr id="16" name="TextBox 40">
          <a:extLst>
            <a:ext uri="{FF2B5EF4-FFF2-40B4-BE49-F238E27FC236}">
              <a16:creationId xmlns:a16="http://schemas.microsoft.com/office/drawing/2014/main" id="{A591036D-5B75-499C-A5E7-D8F95083B3EB}"/>
            </a:ext>
          </a:extLst>
        </xdr:cNvPr>
        <xdr:cNvSpPr txBox="1"/>
      </xdr:nvSpPr>
      <xdr:spPr>
        <a:xfrm>
          <a:off x="10457707" y="2211023"/>
          <a:ext cx="2690635" cy="1255932"/>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10.</a:t>
          </a:r>
          <a:r>
            <a:rPr lang="en-AU" sz="1000" baseline="0">
              <a:solidFill>
                <a:schemeClr val="bg1">
                  <a:lumMod val="95000"/>
                </a:schemeClr>
              </a:solidFill>
              <a:effectLst/>
              <a:latin typeface="+mn-lt"/>
              <a:ea typeface="+mn-ea"/>
              <a:cs typeface="+mn-cs"/>
            </a:rPr>
            <a:t> Endgun performance.</a:t>
          </a:r>
        </a:p>
        <a:p>
          <a:r>
            <a:rPr lang="en-AU" sz="1000" baseline="0">
              <a:solidFill>
                <a:schemeClr val="bg1">
                  <a:lumMod val="95000"/>
                </a:schemeClr>
              </a:solidFill>
              <a:effectLst/>
              <a:latin typeface="+mn-lt"/>
              <a:ea typeface="+mn-ea"/>
              <a:cs typeface="+mn-cs"/>
            </a:rPr>
            <a:t>Endgun capacity is compared to the rest of the centre pivot system. If there is a significant difference, a red warning appears under the System capacity box.</a:t>
          </a:r>
        </a:p>
        <a:p>
          <a:r>
            <a:rPr lang="en-AU" sz="1000" baseline="0">
              <a:solidFill>
                <a:schemeClr val="bg1">
                  <a:lumMod val="95000"/>
                </a:schemeClr>
              </a:solidFill>
              <a:effectLst/>
              <a:latin typeface="+mn-lt"/>
              <a:ea typeface="+mn-ea"/>
              <a:cs typeface="+mn-cs"/>
            </a:rPr>
            <a:t>Endgun throw distance is estimated at the end of the system diagram.</a:t>
          </a:r>
        </a:p>
      </xdr:txBody>
    </xdr:sp>
    <xdr:clientData/>
  </xdr:twoCellAnchor>
  <xdr:twoCellAnchor>
    <xdr:from>
      <xdr:col>14</xdr:col>
      <xdr:colOff>223630</xdr:colOff>
      <xdr:row>15</xdr:row>
      <xdr:rowOff>86264</xdr:rowOff>
    </xdr:from>
    <xdr:to>
      <xdr:col>17</xdr:col>
      <xdr:colOff>551707</xdr:colOff>
      <xdr:row>19</xdr:row>
      <xdr:rowOff>140804</xdr:rowOff>
    </xdr:to>
    <xdr:cxnSp macro="">
      <xdr:nvCxnSpPr>
        <xdr:cNvPr id="17" name="Straight Arrow Connector 16">
          <a:extLst>
            <a:ext uri="{FF2B5EF4-FFF2-40B4-BE49-F238E27FC236}">
              <a16:creationId xmlns:a16="http://schemas.microsoft.com/office/drawing/2014/main" id="{DB772AEA-90B5-4E59-AD6D-CEF0B8936B94}"/>
            </a:ext>
          </a:extLst>
        </xdr:cNvPr>
        <xdr:cNvCxnSpPr>
          <a:cxnSpLocks/>
          <a:stCxn id="16" idx="1"/>
        </xdr:cNvCxnSpPr>
      </xdr:nvCxnSpPr>
      <xdr:spPr>
        <a:xfrm flipH="1">
          <a:off x="8300830" y="2838989"/>
          <a:ext cx="2156877" cy="816540"/>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xdr:col>
      <xdr:colOff>93344</xdr:colOff>
      <xdr:row>11</xdr:row>
      <xdr:rowOff>177760</xdr:rowOff>
    </xdr:from>
    <xdr:ext cx="2376000" cy="1114424"/>
    <xdr:sp macro="" textlink="">
      <xdr:nvSpPr>
        <xdr:cNvPr id="18" name="TextBox 55">
          <a:extLst>
            <a:ext uri="{FF2B5EF4-FFF2-40B4-BE49-F238E27FC236}">
              <a16:creationId xmlns:a16="http://schemas.microsoft.com/office/drawing/2014/main" id="{2A7A1DFA-8351-4ED2-83AD-C508E45983F3}"/>
            </a:ext>
          </a:extLst>
        </xdr:cNvPr>
        <xdr:cNvSpPr txBox="1"/>
      </xdr:nvSpPr>
      <xdr:spPr>
        <a:xfrm>
          <a:off x="245744" y="2168485"/>
          <a:ext cx="2376000" cy="1114424"/>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3.</a:t>
          </a:r>
          <a:r>
            <a:rPr lang="en-AU" sz="1000" baseline="0">
              <a:solidFill>
                <a:schemeClr val="bg1">
                  <a:lumMod val="95000"/>
                </a:schemeClr>
              </a:solidFill>
              <a:effectLst/>
              <a:latin typeface="+mn-lt"/>
              <a:ea typeface="+mn-ea"/>
              <a:cs typeface="+mn-cs"/>
            </a:rPr>
            <a:t> Estimate of motor load based on motor size and measured power consumption </a:t>
          </a:r>
        </a:p>
        <a:p>
          <a:r>
            <a:rPr lang="en-AU" sz="1000" baseline="0">
              <a:solidFill>
                <a:schemeClr val="bg1">
                  <a:lumMod val="95000"/>
                </a:schemeClr>
              </a:solidFill>
              <a:effectLst/>
              <a:latin typeface="+mn-lt"/>
              <a:ea typeface="+mn-ea"/>
              <a:cs typeface="+mn-cs"/>
            </a:rPr>
            <a:t>(Cell D10).</a:t>
          </a:r>
        </a:p>
        <a:p>
          <a:r>
            <a:rPr lang="en-AU" sz="1000" baseline="0">
              <a:solidFill>
                <a:schemeClr val="bg1">
                  <a:lumMod val="95000"/>
                </a:schemeClr>
              </a:solidFill>
              <a:effectLst/>
              <a:latin typeface="+mn-lt"/>
              <a:ea typeface="+mn-ea"/>
              <a:cs typeface="+mn-cs"/>
            </a:rPr>
            <a:t>Green = good, load from 50-100%</a:t>
          </a:r>
        </a:p>
        <a:p>
          <a:r>
            <a:rPr lang="en-AU" sz="1000" baseline="0">
              <a:solidFill>
                <a:schemeClr val="bg1">
                  <a:lumMod val="95000"/>
                </a:schemeClr>
              </a:solidFill>
              <a:effectLst/>
              <a:latin typeface="+mn-lt"/>
              <a:ea typeface="+mn-ea"/>
              <a:cs typeface="+mn-cs"/>
            </a:rPr>
            <a:t>Red = poor , load less tan 50%</a:t>
          </a:r>
        </a:p>
        <a:p>
          <a:r>
            <a:rPr lang="en-AU" sz="1000" baseline="0">
              <a:solidFill>
                <a:schemeClr val="bg1">
                  <a:lumMod val="95000"/>
                </a:schemeClr>
              </a:solidFill>
              <a:effectLst/>
              <a:latin typeface="+mn-lt"/>
              <a:ea typeface="+mn-ea"/>
              <a:cs typeface="+mn-cs"/>
            </a:rPr>
            <a:t>Yellow = error - load greater than 100%</a:t>
          </a:r>
        </a:p>
      </xdr:txBody>
    </xdr:sp>
    <xdr:clientData/>
  </xdr:oneCellAnchor>
  <xdr:twoCellAnchor>
    <xdr:from>
      <xdr:col>5</xdr:col>
      <xdr:colOff>17692</xdr:colOff>
      <xdr:row>14</xdr:row>
      <xdr:rowOff>163472</xdr:rowOff>
    </xdr:from>
    <xdr:to>
      <xdr:col>7</xdr:col>
      <xdr:colOff>124239</xdr:colOff>
      <xdr:row>18</xdr:row>
      <xdr:rowOff>41413</xdr:rowOff>
    </xdr:to>
    <xdr:cxnSp macro="">
      <xdr:nvCxnSpPr>
        <xdr:cNvPr id="19" name="Straight Arrow Connector 18">
          <a:extLst>
            <a:ext uri="{FF2B5EF4-FFF2-40B4-BE49-F238E27FC236}">
              <a16:creationId xmlns:a16="http://schemas.microsoft.com/office/drawing/2014/main" id="{C25799BF-D874-4732-AF2F-456BF26BB650}"/>
            </a:ext>
          </a:extLst>
        </xdr:cNvPr>
        <xdr:cNvCxnSpPr>
          <a:stCxn id="18" idx="3"/>
        </xdr:cNvCxnSpPr>
      </xdr:nvCxnSpPr>
      <xdr:spPr>
        <a:xfrm>
          <a:off x="2608492" y="2725697"/>
          <a:ext cx="1325747" cy="639941"/>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93344</xdr:colOff>
      <xdr:row>18</xdr:row>
      <xdr:rowOff>58124</xdr:rowOff>
    </xdr:from>
    <xdr:to>
      <xdr:col>5</xdr:col>
      <xdr:colOff>17692</xdr:colOff>
      <xdr:row>24</xdr:row>
      <xdr:rowOff>29549</xdr:rowOff>
    </xdr:to>
    <xdr:sp macro="" textlink="">
      <xdr:nvSpPr>
        <xdr:cNvPr id="20" name="TextBox 61">
          <a:extLst>
            <a:ext uri="{FF2B5EF4-FFF2-40B4-BE49-F238E27FC236}">
              <a16:creationId xmlns:a16="http://schemas.microsoft.com/office/drawing/2014/main" id="{62BC149C-09A6-49FC-812A-B915BA1D3F9E}"/>
            </a:ext>
          </a:extLst>
        </xdr:cNvPr>
        <xdr:cNvSpPr txBox="1"/>
      </xdr:nvSpPr>
      <xdr:spPr>
        <a:xfrm>
          <a:off x="245744" y="3382349"/>
          <a:ext cx="2362748" cy="1114425"/>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4.</a:t>
          </a:r>
          <a:r>
            <a:rPr lang="en-AU" sz="1000" baseline="0">
              <a:solidFill>
                <a:schemeClr val="bg1">
                  <a:lumMod val="95000"/>
                </a:schemeClr>
              </a:solidFill>
              <a:effectLst/>
              <a:latin typeface="+mn-lt"/>
              <a:ea typeface="+mn-ea"/>
              <a:cs typeface="+mn-cs"/>
            </a:rPr>
            <a:t> Graph showing break down of pumping costs in $/year. </a:t>
          </a:r>
        </a:p>
        <a:p>
          <a:r>
            <a:rPr lang="en-AU" sz="1000" baseline="0">
              <a:solidFill>
                <a:schemeClr val="bg1">
                  <a:lumMod val="95000"/>
                </a:schemeClr>
              </a:solidFill>
              <a:effectLst/>
              <a:latin typeface="+mn-lt"/>
              <a:ea typeface="+mn-ea"/>
              <a:cs typeface="+mn-cs"/>
            </a:rPr>
            <a:t>Column 1 - costs for the current system</a:t>
          </a:r>
        </a:p>
        <a:p>
          <a:r>
            <a:rPr lang="en-AU" sz="1000" baseline="0">
              <a:solidFill>
                <a:schemeClr val="bg1">
                  <a:lumMod val="95000"/>
                </a:schemeClr>
              </a:solidFill>
              <a:effectLst/>
              <a:latin typeface="+mn-lt"/>
              <a:ea typeface="+mn-ea"/>
              <a:cs typeface="+mn-cs"/>
            </a:rPr>
            <a:t>Column 2 - potential costs following modification to improve energy efficiency and reduce losses.</a:t>
          </a:r>
        </a:p>
      </xdr:txBody>
    </xdr:sp>
    <xdr:clientData/>
  </xdr:twoCellAnchor>
  <xdr:twoCellAnchor>
    <xdr:from>
      <xdr:col>5</xdr:col>
      <xdr:colOff>17692</xdr:colOff>
      <xdr:row>20</xdr:row>
      <xdr:rowOff>182217</xdr:rowOff>
    </xdr:from>
    <xdr:to>
      <xdr:col>6</xdr:col>
      <xdr:colOff>215348</xdr:colOff>
      <xdr:row>21</xdr:row>
      <xdr:rowOff>43837</xdr:rowOff>
    </xdr:to>
    <xdr:cxnSp macro="">
      <xdr:nvCxnSpPr>
        <xdr:cNvPr id="21" name="Straight Arrow Connector 20">
          <a:extLst>
            <a:ext uri="{FF2B5EF4-FFF2-40B4-BE49-F238E27FC236}">
              <a16:creationId xmlns:a16="http://schemas.microsoft.com/office/drawing/2014/main" id="{32E00DC5-09FE-4E92-B265-A6556FBD97F3}"/>
            </a:ext>
          </a:extLst>
        </xdr:cNvPr>
        <xdr:cNvCxnSpPr>
          <a:cxnSpLocks/>
          <a:stCxn id="20" idx="3"/>
        </xdr:cNvCxnSpPr>
      </xdr:nvCxnSpPr>
      <xdr:spPr>
        <a:xfrm flipV="1">
          <a:off x="2608492" y="3887442"/>
          <a:ext cx="807256" cy="52120"/>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551707</xdr:colOff>
      <xdr:row>28</xdr:row>
      <xdr:rowOff>51512</xdr:rowOff>
    </xdr:from>
    <xdr:to>
      <xdr:col>22</xdr:col>
      <xdr:colOff>194342</xdr:colOff>
      <xdr:row>31</xdr:row>
      <xdr:rowOff>51946</xdr:rowOff>
    </xdr:to>
    <xdr:sp macro="" textlink="">
      <xdr:nvSpPr>
        <xdr:cNvPr id="22" name="TextBox 103">
          <a:extLst>
            <a:ext uri="{FF2B5EF4-FFF2-40B4-BE49-F238E27FC236}">
              <a16:creationId xmlns:a16="http://schemas.microsoft.com/office/drawing/2014/main" id="{7F70F6F7-0E85-4980-B6F4-1B91F28535AA}"/>
            </a:ext>
          </a:extLst>
        </xdr:cNvPr>
        <xdr:cNvSpPr txBox="1"/>
      </xdr:nvSpPr>
      <xdr:spPr>
        <a:xfrm>
          <a:off x="10457707" y="5280737"/>
          <a:ext cx="2690635" cy="571934"/>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15. Estimated head</a:t>
          </a:r>
          <a:r>
            <a:rPr lang="en-AU" sz="1000" baseline="0">
              <a:solidFill>
                <a:schemeClr val="lt1"/>
              </a:solidFill>
              <a:effectLst/>
              <a:latin typeface="+mn-lt"/>
              <a:ea typeface="+mn-ea"/>
              <a:cs typeface="+mn-cs"/>
            </a:rPr>
            <a:t> loss in the machine boom</a:t>
          </a:r>
        </a:p>
        <a:p>
          <a:r>
            <a:rPr lang="en-AU" sz="1000" baseline="0">
              <a:solidFill>
                <a:schemeClr val="lt1"/>
              </a:solidFill>
              <a:effectLst/>
              <a:latin typeface="+mn-lt"/>
              <a:ea typeface="+mn-ea"/>
              <a:cs typeface="+mn-cs"/>
            </a:rPr>
            <a:t>16. Potential annual cost savings if head loss is reduced to 'target' by increasing pipe size.</a:t>
          </a:r>
        </a:p>
      </xdr:txBody>
    </xdr:sp>
    <xdr:clientData/>
  </xdr:twoCellAnchor>
  <xdr:twoCellAnchor>
    <xdr:from>
      <xdr:col>15</xdr:col>
      <xdr:colOff>426519</xdr:colOff>
      <xdr:row>21</xdr:row>
      <xdr:rowOff>91425</xdr:rowOff>
    </xdr:from>
    <xdr:to>
      <xdr:col>17</xdr:col>
      <xdr:colOff>551708</xdr:colOff>
      <xdr:row>29</xdr:row>
      <xdr:rowOff>146980</xdr:rowOff>
    </xdr:to>
    <xdr:cxnSp macro="">
      <xdr:nvCxnSpPr>
        <xdr:cNvPr id="23" name="Straight Arrow Connector 54">
          <a:extLst>
            <a:ext uri="{FF2B5EF4-FFF2-40B4-BE49-F238E27FC236}">
              <a16:creationId xmlns:a16="http://schemas.microsoft.com/office/drawing/2014/main" id="{2E68B622-B352-460C-81AD-8D1686F35ACD}"/>
            </a:ext>
          </a:extLst>
        </xdr:cNvPr>
        <xdr:cNvCxnSpPr>
          <a:cxnSpLocks/>
          <a:stCxn id="22" idx="1"/>
          <a:endCxn id="27" idx="1"/>
        </xdr:cNvCxnSpPr>
      </xdr:nvCxnSpPr>
      <xdr:spPr>
        <a:xfrm rot="10800000">
          <a:off x="9113319" y="3987150"/>
          <a:ext cx="1344389" cy="1579555"/>
        </a:xfrm>
        <a:prstGeom prst="curvedConnector3">
          <a:avLst>
            <a:gd name="adj1" fmla="val 2794"/>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551707</xdr:colOff>
      <xdr:row>23</xdr:row>
      <xdr:rowOff>146179</xdr:rowOff>
    </xdr:from>
    <xdr:to>
      <xdr:col>22</xdr:col>
      <xdr:colOff>194342</xdr:colOff>
      <xdr:row>28</xdr:row>
      <xdr:rowOff>166</xdr:rowOff>
    </xdr:to>
    <xdr:sp macro="" textlink="">
      <xdr:nvSpPr>
        <xdr:cNvPr id="24" name="TextBox 112">
          <a:extLst>
            <a:ext uri="{FF2B5EF4-FFF2-40B4-BE49-F238E27FC236}">
              <a16:creationId xmlns:a16="http://schemas.microsoft.com/office/drawing/2014/main" id="{4F993FB0-2BA4-4497-9376-8594B17F4577}"/>
            </a:ext>
          </a:extLst>
        </xdr:cNvPr>
        <xdr:cNvSpPr txBox="1"/>
      </xdr:nvSpPr>
      <xdr:spPr>
        <a:xfrm>
          <a:off x="10457707" y="4422904"/>
          <a:ext cx="2690635" cy="806487"/>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12. Current</a:t>
          </a:r>
          <a:r>
            <a:rPr lang="en-AU" sz="1000" baseline="0">
              <a:solidFill>
                <a:schemeClr val="lt1"/>
              </a:solidFill>
              <a:effectLst/>
              <a:latin typeface="+mn-lt"/>
              <a:ea typeface="+mn-ea"/>
              <a:cs typeface="+mn-cs"/>
            </a:rPr>
            <a:t> pressure at end of machine</a:t>
          </a:r>
        </a:p>
        <a:p>
          <a:r>
            <a:rPr lang="en-AU" sz="1000" baseline="0">
              <a:solidFill>
                <a:schemeClr val="lt1"/>
              </a:solidFill>
              <a:effectLst/>
              <a:latin typeface="+mn-lt"/>
              <a:ea typeface="+mn-ea"/>
              <a:cs typeface="+mn-cs"/>
            </a:rPr>
            <a:t>13. Optimum pressure based on regulator rating.</a:t>
          </a:r>
        </a:p>
        <a:p>
          <a:pPr marL="0" marR="0" lvl="0" indent="0" defTabSz="914400" eaLnBrk="1" fontAlgn="auto" latinLnBrk="0" hangingPunct="1">
            <a:lnSpc>
              <a:spcPct val="100000"/>
            </a:lnSpc>
            <a:spcBef>
              <a:spcPts val="0"/>
            </a:spcBef>
            <a:spcAft>
              <a:spcPts val="0"/>
            </a:spcAft>
            <a:buClrTx/>
            <a:buSzTx/>
            <a:buFontTx/>
            <a:buNone/>
            <a:tabLst/>
            <a:defRPr/>
          </a:pPr>
          <a:r>
            <a:rPr lang="en-AU" sz="1000" baseline="0">
              <a:solidFill>
                <a:schemeClr val="lt1"/>
              </a:solidFill>
              <a:effectLst/>
              <a:latin typeface="+mn-lt"/>
              <a:ea typeface="+mn-ea"/>
              <a:cs typeface="+mn-cs"/>
            </a:rPr>
            <a:t>14. Potential cost savings (or increase if in red) of achieving optimal pressure at end of system.</a:t>
          </a:r>
          <a:endParaRPr lang="en-AU" sz="1000">
            <a:effectLst/>
          </a:endParaRPr>
        </a:p>
      </xdr:txBody>
    </xdr:sp>
    <xdr:clientData/>
  </xdr:twoCellAnchor>
  <xdr:twoCellAnchor>
    <xdr:from>
      <xdr:col>17</xdr:col>
      <xdr:colOff>294239</xdr:colOff>
      <xdr:row>21</xdr:row>
      <xdr:rowOff>71980</xdr:rowOff>
    </xdr:from>
    <xdr:to>
      <xdr:col>17</xdr:col>
      <xdr:colOff>551707</xdr:colOff>
      <xdr:row>25</xdr:row>
      <xdr:rowOff>168423</xdr:rowOff>
    </xdr:to>
    <xdr:cxnSp macro="">
      <xdr:nvCxnSpPr>
        <xdr:cNvPr id="25" name="Straight Arrow Connector 24">
          <a:extLst>
            <a:ext uri="{FF2B5EF4-FFF2-40B4-BE49-F238E27FC236}">
              <a16:creationId xmlns:a16="http://schemas.microsoft.com/office/drawing/2014/main" id="{0FF1A99C-EE35-41D3-BD21-5552BABC15A7}"/>
            </a:ext>
          </a:extLst>
        </xdr:cNvPr>
        <xdr:cNvCxnSpPr>
          <a:cxnSpLocks/>
          <a:stCxn id="24" idx="1"/>
          <a:endCxn id="26" idx="1"/>
        </xdr:cNvCxnSpPr>
      </xdr:nvCxnSpPr>
      <xdr:spPr>
        <a:xfrm flipH="1" flipV="1">
          <a:off x="10200239" y="3967705"/>
          <a:ext cx="257468" cy="85844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132314</xdr:colOff>
      <xdr:row>20</xdr:row>
      <xdr:rowOff>48937</xdr:rowOff>
    </xdr:from>
    <xdr:to>
      <xdr:col>17</xdr:col>
      <xdr:colOff>294239</xdr:colOff>
      <xdr:row>22</xdr:row>
      <xdr:rowOff>95022</xdr:rowOff>
    </xdr:to>
    <xdr:sp macro="" textlink="">
      <xdr:nvSpPr>
        <xdr:cNvPr id="26" name="Left Brace 25">
          <a:extLst>
            <a:ext uri="{FF2B5EF4-FFF2-40B4-BE49-F238E27FC236}">
              <a16:creationId xmlns:a16="http://schemas.microsoft.com/office/drawing/2014/main" id="{CC663479-5E37-4B56-9121-965AA6724891}"/>
            </a:ext>
          </a:extLst>
        </xdr:cNvPr>
        <xdr:cNvSpPr/>
      </xdr:nvSpPr>
      <xdr:spPr>
        <a:xfrm flipH="1">
          <a:off x="10038314" y="3754162"/>
          <a:ext cx="161925" cy="427085"/>
        </a:xfrm>
        <a:prstGeom prst="leftBrace">
          <a:avLst/>
        </a:prstGeom>
        <a:noFill/>
        <a:ln w="190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15</xdr:col>
      <xdr:colOff>264593</xdr:colOff>
      <xdr:row>20</xdr:row>
      <xdr:rowOff>138812</xdr:rowOff>
    </xdr:from>
    <xdr:to>
      <xdr:col>15</xdr:col>
      <xdr:colOff>426518</xdr:colOff>
      <xdr:row>22</xdr:row>
      <xdr:rowOff>44036</xdr:rowOff>
    </xdr:to>
    <xdr:sp macro="" textlink="">
      <xdr:nvSpPr>
        <xdr:cNvPr id="27" name="Left Brace 26">
          <a:extLst>
            <a:ext uri="{FF2B5EF4-FFF2-40B4-BE49-F238E27FC236}">
              <a16:creationId xmlns:a16="http://schemas.microsoft.com/office/drawing/2014/main" id="{20259169-D3FC-48B7-B5B1-B845DB9DBFA8}"/>
            </a:ext>
          </a:extLst>
        </xdr:cNvPr>
        <xdr:cNvSpPr/>
      </xdr:nvSpPr>
      <xdr:spPr>
        <a:xfrm flipH="1">
          <a:off x="8951393" y="3844037"/>
          <a:ext cx="161925" cy="286224"/>
        </a:xfrm>
        <a:prstGeom prst="leftBrace">
          <a:avLst/>
        </a:prstGeom>
        <a:noFill/>
        <a:ln w="190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14</xdr:col>
      <xdr:colOff>239388</xdr:colOff>
      <xdr:row>20</xdr:row>
      <xdr:rowOff>157744</xdr:rowOff>
    </xdr:from>
    <xdr:to>
      <xdr:col>14</xdr:col>
      <xdr:colOff>401313</xdr:colOff>
      <xdr:row>22</xdr:row>
      <xdr:rowOff>53032</xdr:rowOff>
    </xdr:to>
    <xdr:sp macro="" textlink="">
      <xdr:nvSpPr>
        <xdr:cNvPr id="28" name="Left Brace 27">
          <a:extLst>
            <a:ext uri="{FF2B5EF4-FFF2-40B4-BE49-F238E27FC236}">
              <a16:creationId xmlns:a16="http://schemas.microsoft.com/office/drawing/2014/main" id="{B1093F9D-5CFB-4FC5-9485-29ACF7DFB6BF}"/>
            </a:ext>
          </a:extLst>
        </xdr:cNvPr>
        <xdr:cNvSpPr/>
      </xdr:nvSpPr>
      <xdr:spPr>
        <a:xfrm flipH="1">
          <a:off x="8316588" y="3862969"/>
          <a:ext cx="161925" cy="276288"/>
        </a:xfrm>
        <a:prstGeom prst="leftBrace">
          <a:avLst/>
        </a:prstGeom>
        <a:noFill/>
        <a:ln w="190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12</xdr:col>
      <xdr:colOff>55365</xdr:colOff>
      <xdr:row>20</xdr:row>
      <xdr:rowOff>153621</xdr:rowOff>
    </xdr:from>
    <xdr:to>
      <xdr:col>12</xdr:col>
      <xdr:colOff>189378</xdr:colOff>
      <xdr:row>22</xdr:row>
      <xdr:rowOff>35543</xdr:rowOff>
    </xdr:to>
    <xdr:sp macro="" textlink="">
      <xdr:nvSpPr>
        <xdr:cNvPr id="29" name="Left Brace 28">
          <a:extLst>
            <a:ext uri="{FF2B5EF4-FFF2-40B4-BE49-F238E27FC236}">
              <a16:creationId xmlns:a16="http://schemas.microsoft.com/office/drawing/2014/main" id="{34AD8209-8D68-4E68-935A-C7FDD7CE77E2}"/>
            </a:ext>
          </a:extLst>
        </xdr:cNvPr>
        <xdr:cNvSpPr/>
      </xdr:nvSpPr>
      <xdr:spPr>
        <a:xfrm>
          <a:off x="6913365" y="3858846"/>
          <a:ext cx="134013" cy="262922"/>
        </a:xfrm>
        <a:prstGeom prst="leftBrace">
          <a:avLst/>
        </a:prstGeom>
        <a:noFill/>
        <a:ln w="190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10</xdr:col>
      <xdr:colOff>153658</xdr:colOff>
      <xdr:row>27</xdr:row>
      <xdr:rowOff>161404</xdr:rowOff>
    </xdr:from>
    <xdr:to>
      <xdr:col>12</xdr:col>
      <xdr:colOff>402136</xdr:colOff>
      <xdr:row>35</xdr:row>
      <xdr:rowOff>27004</xdr:rowOff>
    </xdr:to>
    <xdr:sp macro="" textlink="">
      <xdr:nvSpPr>
        <xdr:cNvPr id="30" name="TextBox 151">
          <a:extLst>
            <a:ext uri="{FF2B5EF4-FFF2-40B4-BE49-F238E27FC236}">
              <a16:creationId xmlns:a16="http://schemas.microsoft.com/office/drawing/2014/main" id="{D26FC1E3-C533-435E-9B92-4724E657A185}"/>
            </a:ext>
          </a:extLst>
        </xdr:cNvPr>
        <xdr:cNvSpPr txBox="1"/>
      </xdr:nvSpPr>
      <xdr:spPr>
        <a:xfrm>
          <a:off x="5792458" y="5200129"/>
          <a:ext cx="1467678" cy="13896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rPr>
            <a:t>21.</a:t>
          </a:r>
          <a:r>
            <a:rPr lang="en-AU" sz="1000" baseline="0">
              <a:solidFill>
                <a:schemeClr val="bg1">
                  <a:lumMod val="95000"/>
                </a:schemeClr>
              </a:solidFill>
              <a:effectLst/>
            </a:rPr>
            <a:t> Pumping costs ($/ML) at current pump efficiency</a:t>
          </a:r>
        </a:p>
        <a:p>
          <a:r>
            <a:rPr lang="en-AU" sz="1000">
              <a:solidFill>
                <a:schemeClr val="bg1">
                  <a:lumMod val="95000"/>
                </a:schemeClr>
              </a:solidFill>
              <a:effectLst/>
            </a:rPr>
            <a:t>22. Pumping costs ($/ML) at target pump efficiency</a:t>
          </a:r>
        </a:p>
        <a:p>
          <a:r>
            <a:rPr lang="en-AU" sz="1000">
              <a:solidFill>
                <a:schemeClr val="bg1">
                  <a:lumMod val="95000"/>
                </a:schemeClr>
              </a:solidFill>
              <a:effectLst/>
            </a:rPr>
            <a:t>23. Potential energy cost savings</a:t>
          </a:r>
          <a:r>
            <a:rPr lang="en-AU" sz="1000" baseline="0">
              <a:solidFill>
                <a:schemeClr val="bg1">
                  <a:lumMod val="95000"/>
                </a:schemeClr>
              </a:solidFill>
              <a:effectLst/>
            </a:rPr>
            <a:t> from improving pump efficiency to target efficiency</a:t>
          </a:r>
          <a:endParaRPr lang="en-AU" sz="1000">
            <a:solidFill>
              <a:schemeClr val="bg1">
                <a:lumMod val="95000"/>
              </a:schemeClr>
            </a:solidFill>
            <a:effectLst/>
          </a:endParaRPr>
        </a:p>
        <a:p>
          <a:endParaRPr lang="en-AU" sz="1000">
            <a:solidFill>
              <a:schemeClr val="bg1">
                <a:lumMod val="95000"/>
              </a:schemeClr>
            </a:solidFill>
            <a:effectLst/>
          </a:endParaRPr>
        </a:p>
      </xdr:txBody>
    </xdr:sp>
    <xdr:clientData/>
  </xdr:twoCellAnchor>
  <xdr:twoCellAnchor>
    <xdr:from>
      <xdr:col>11</xdr:col>
      <xdr:colOff>277897</xdr:colOff>
      <xdr:row>21</xdr:row>
      <xdr:rowOff>94582</xdr:rowOff>
    </xdr:from>
    <xdr:to>
      <xdr:col>12</xdr:col>
      <xdr:colOff>55365</xdr:colOff>
      <xdr:row>27</xdr:row>
      <xdr:rowOff>161404</xdr:rowOff>
    </xdr:to>
    <xdr:cxnSp macro="">
      <xdr:nvCxnSpPr>
        <xdr:cNvPr id="31" name="Straight Arrow Connector 30">
          <a:extLst>
            <a:ext uri="{FF2B5EF4-FFF2-40B4-BE49-F238E27FC236}">
              <a16:creationId xmlns:a16="http://schemas.microsoft.com/office/drawing/2014/main" id="{E5D7C428-CBD1-4C9C-80A4-EA56901A0F75}"/>
            </a:ext>
          </a:extLst>
        </xdr:cNvPr>
        <xdr:cNvCxnSpPr>
          <a:cxnSpLocks/>
          <a:stCxn id="30" idx="0"/>
          <a:endCxn id="29" idx="1"/>
        </xdr:cNvCxnSpPr>
      </xdr:nvCxnSpPr>
      <xdr:spPr>
        <a:xfrm flipV="1">
          <a:off x="6526297" y="3990307"/>
          <a:ext cx="387068" cy="1209822"/>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16</xdr:col>
      <xdr:colOff>57984</xdr:colOff>
      <xdr:row>27</xdr:row>
      <xdr:rowOff>161404</xdr:rowOff>
    </xdr:from>
    <xdr:ext cx="1035325" cy="1389600"/>
    <xdr:sp macro="" textlink="">
      <xdr:nvSpPr>
        <xdr:cNvPr id="32" name="TextBox 31">
          <a:extLst>
            <a:ext uri="{FF2B5EF4-FFF2-40B4-BE49-F238E27FC236}">
              <a16:creationId xmlns:a16="http://schemas.microsoft.com/office/drawing/2014/main" id="{5498C116-2D68-4758-9DF2-293BD9207C52}"/>
            </a:ext>
          </a:extLst>
        </xdr:cNvPr>
        <xdr:cNvSpPr txBox="1"/>
      </xdr:nvSpPr>
      <xdr:spPr>
        <a:xfrm>
          <a:off x="9354384" y="5200129"/>
          <a:ext cx="1035325" cy="13896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26. Total</a:t>
          </a:r>
          <a:r>
            <a:rPr lang="en-AU" sz="1000" baseline="0">
              <a:solidFill>
                <a:schemeClr val="lt1"/>
              </a:solidFill>
              <a:effectLst/>
              <a:latin typeface="+mn-lt"/>
              <a:ea typeface="+mn-ea"/>
              <a:cs typeface="+mn-cs"/>
            </a:rPr>
            <a:t> potential cost saving by improving all efficiency opportunities and reducing pressure and friction losses.</a:t>
          </a:r>
          <a:endParaRPr lang="en-AU" sz="1000">
            <a:solidFill>
              <a:schemeClr val="bg1">
                <a:lumMod val="95000"/>
              </a:schemeClr>
            </a:solidFill>
            <a:effectLst/>
          </a:endParaRPr>
        </a:p>
      </xdr:txBody>
    </xdr:sp>
    <xdr:clientData/>
  </xdr:oneCellAnchor>
  <xdr:twoCellAnchor>
    <xdr:from>
      <xdr:col>13</xdr:col>
      <xdr:colOff>99392</xdr:colOff>
      <xdr:row>24</xdr:row>
      <xdr:rowOff>0</xdr:rowOff>
    </xdr:from>
    <xdr:to>
      <xdr:col>16</xdr:col>
      <xdr:colOff>575647</xdr:colOff>
      <xdr:row>27</xdr:row>
      <xdr:rowOff>161404</xdr:rowOff>
    </xdr:to>
    <xdr:cxnSp macro="">
      <xdr:nvCxnSpPr>
        <xdr:cNvPr id="33" name="Straight Arrow Connector 32">
          <a:extLst>
            <a:ext uri="{FF2B5EF4-FFF2-40B4-BE49-F238E27FC236}">
              <a16:creationId xmlns:a16="http://schemas.microsoft.com/office/drawing/2014/main" id="{A85D7AFF-A477-470E-900C-0382BF786FE2}"/>
            </a:ext>
          </a:extLst>
        </xdr:cNvPr>
        <xdr:cNvCxnSpPr>
          <a:cxnSpLocks/>
          <a:stCxn id="32" idx="0"/>
        </xdr:cNvCxnSpPr>
      </xdr:nvCxnSpPr>
      <xdr:spPr>
        <a:xfrm flipH="1" flipV="1">
          <a:off x="7566992" y="4467225"/>
          <a:ext cx="2305055" cy="732904"/>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xdr:col>
      <xdr:colOff>93344</xdr:colOff>
      <xdr:row>30</xdr:row>
      <xdr:rowOff>23118</xdr:rowOff>
    </xdr:from>
    <xdr:ext cx="2376000" cy="446135"/>
    <xdr:sp macro="" textlink="">
      <xdr:nvSpPr>
        <xdr:cNvPr id="34" name="TextBox 33">
          <a:extLst>
            <a:ext uri="{FF2B5EF4-FFF2-40B4-BE49-F238E27FC236}">
              <a16:creationId xmlns:a16="http://schemas.microsoft.com/office/drawing/2014/main" id="{168F66D7-8AE2-4D41-80F4-98F6A96DADA9}"/>
            </a:ext>
          </a:extLst>
        </xdr:cNvPr>
        <xdr:cNvSpPr txBox="1"/>
      </xdr:nvSpPr>
      <xdr:spPr>
        <a:xfrm>
          <a:off x="245744" y="5633343"/>
          <a:ext cx="2376000" cy="44613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6. Drive efficiency saving explaination. If</a:t>
          </a:r>
          <a:r>
            <a:rPr lang="en-AU" sz="1000" baseline="0">
              <a:solidFill>
                <a:schemeClr val="lt1"/>
              </a:solidFill>
              <a:effectLst/>
              <a:latin typeface="+mn-lt"/>
              <a:ea typeface="+mn-ea"/>
              <a:cs typeface="+mn-cs"/>
            </a:rPr>
            <a:t> shown, efficiency </a:t>
          </a:r>
          <a:r>
            <a:rPr lang="en-AU" sz="1000">
              <a:solidFill>
                <a:schemeClr val="lt1"/>
              </a:solidFill>
              <a:effectLst/>
              <a:latin typeface="+mn-lt"/>
              <a:ea typeface="+mn-ea"/>
              <a:cs typeface="+mn-cs"/>
            </a:rPr>
            <a:t>improvement is available.</a:t>
          </a:r>
          <a:endParaRPr lang="en-AU" sz="1000">
            <a:solidFill>
              <a:schemeClr val="bg1">
                <a:lumMod val="95000"/>
              </a:schemeClr>
            </a:solidFill>
            <a:effectLst/>
          </a:endParaRPr>
        </a:p>
      </xdr:txBody>
    </xdr:sp>
    <xdr:clientData/>
  </xdr:oneCellAnchor>
  <xdr:twoCellAnchor>
    <xdr:from>
      <xdr:col>5</xdr:col>
      <xdr:colOff>17692</xdr:colOff>
      <xdr:row>19</xdr:row>
      <xdr:rowOff>124239</xdr:rowOff>
    </xdr:from>
    <xdr:to>
      <xdr:col>8</xdr:col>
      <xdr:colOff>463826</xdr:colOff>
      <xdr:row>31</xdr:row>
      <xdr:rowOff>55686</xdr:rowOff>
    </xdr:to>
    <xdr:cxnSp macro="">
      <xdr:nvCxnSpPr>
        <xdr:cNvPr id="35" name="Straight Arrow Connector 66">
          <a:extLst>
            <a:ext uri="{FF2B5EF4-FFF2-40B4-BE49-F238E27FC236}">
              <a16:creationId xmlns:a16="http://schemas.microsoft.com/office/drawing/2014/main" id="{14453BA6-0EA9-4FCF-BECF-13BB7593C233}"/>
            </a:ext>
          </a:extLst>
        </xdr:cNvPr>
        <xdr:cNvCxnSpPr>
          <a:cxnSpLocks/>
          <a:stCxn id="34" idx="3"/>
        </xdr:cNvCxnSpPr>
      </xdr:nvCxnSpPr>
      <xdr:spPr>
        <a:xfrm flipV="1">
          <a:off x="2608492" y="3638964"/>
          <a:ext cx="2274934" cy="2217447"/>
        </a:xfrm>
        <a:prstGeom prst="curvedConnector3">
          <a:avLst>
            <a:gd name="adj1" fmla="val 2150"/>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5</xdr:col>
      <xdr:colOff>82825</xdr:colOff>
      <xdr:row>27</xdr:row>
      <xdr:rowOff>161404</xdr:rowOff>
    </xdr:from>
    <xdr:ext cx="1697933" cy="1389600"/>
    <xdr:sp macro="" textlink="">
      <xdr:nvSpPr>
        <xdr:cNvPr id="36" name="TextBox 35">
          <a:extLst>
            <a:ext uri="{FF2B5EF4-FFF2-40B4-BE49-F238E27FC236}">
              <a16:creationId xmlns:a16="http://schemas.microsoft.com/office/drawing/2014/main" id="{1F96155A-1664-44CD-A33B-569361560BA6}"/>
            </a:ext>
          </a:extLst>
        </xdr:cNvPr>
        <xdr:cNvSpPr txBox="1"/>
      </xdr:nvSpPr>
      <xdr:spPr>
        <a:xfrm>
          <a:off x="2673625" y="5200129"/>
          <a:ext cx="1697933" cy="13896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19. Drive and motor potential annual savings.</a:t>
          </a:r>
        </a:p>
        <a:p>
          <a:r>
            <a:rPr lang="en-AU" sz="1000">
              <a:solidFill>
                <a:schemeClr val="lt1"/>
              </a:solidFill>
              <a:effectLst/>
              <a:latin typeface="+mn-lt"/>
              <a:ea typeface="+mn-ea"/>
              <a:cs typeface="+mn-cs"/>
            </a:rPr>
            <a:t>Drive</a:t>
          </a:r>
          <a:r>
            <a:rPr lang="en-AU" sz="1000" baseline="0">
              <a:solidFill>
                <a:schemeClr val="lt1"/>
              </a:solidFill>
              <a:effectLst/>
              <a:latin typeface="+mn-lt"/>
              <a:ea typeface="+mn-ea"/>
              <a:cs typeface="+mn-cs"/>
            </a:rPr>
            <a:t> savings are based on conversion to direct drive.</a:t>
          </a:r>
        </a:p>
        <a:p>
          <a:r>
            <a:rPr lang="en-AU" sz="1000" baseline="0">
              <a:solidFill>
                <a:schemeClr val="lt1"/>
              </a:solidFill>
              <a:effectLst/>
              <a:latin typeface="+mn-lt"/>
              <a:ea typeface="+mn-ea"/>
              <a:cs typeface="+mn-cs"/>
            </a:rPr>
            <a:t>Motor savings are based on upgrading to a motor with a high efficiency rating for its fuel type (diesel or electricity).</a:t>
          </a:r>
          <a:endParaRPr lang="en-AU" sz="1000">
            <a:solidFill>
              <a:schemeClr val="bg1">
                <a:lumMod val="95000"/>
              </a:schemeClr>
            </a:solidFill>
            <a:effectLst/>
          </a:endParaRPr>
        </a:p>
      </xdr:txBody>
    </xdr:sp>
    <xdr:clientData/>
  </xdr:oneCellAnchor>
  <xdr:twoCellAnchor>
    <xdr:from>
      <xdr:col>6</xdr:col>
      <xdr:colOff>318879</xdr:colOff>
      <xdr:row>22</xdr:row>
      <xdr:rowOff>66261</xdr:rowOff>
    </xdr:from>
    <xdr:to>
      <xdr:col>9</xdr:col>
      <xdr:colOff>66261</xdr:colOff>
      <xdr:row>27</xdr:row>
      <xdr:rowOff>161404</xdr:rowOff>
    </xdr:to>
    <xdr:cxnSp macro="">
      <xdr:nvCxnSpPr>
        <xdr:cNvPr id="37" name="Straight Arrow Connector 36">
          <a:extLst>
            <a:ext uri="{FF2B5EF4-FFF2-40B4-BE49-F238E27FC236}">
              <a16:creationId xmlns:a16="http://schemas.microsoft.com/office/drawing/2014/main" id="{A4CEF5C5-FD4D-4C98-821C-A981A21EE6A9}"/>
            </a:ext>
          </a:extLst>
        </xdr:cNvPr>
        <xdr:cNvCxnSpPr>
          <a:cxnSpLocks/>
          <a:stCxn id="36" idx="0"/>
        </xdr:cNvCxnSpPr>
      </xdr:nvCxnSpPr>
      <xdr:spPr>
        <a:xfrm flipV="1">
          <a:off x="3519279" y="4152486"/>
          <a:ext cx="1576182" cy="104764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14</xdr:col>
      <xdr:colOff>157369</xdr:colOff>
      <xdr:row>15</xdr:row>
      <xdr:rowOff>86264</xdr:rowOff>
    </xdr:from>
    <xdr:to>
      <xdr:col>17</xdr:col>
      <xdr:colOff>551707</xdr:colOff>
      <xdr:row>17</xdr:row>
      <xdr:rowOff>182217</xdr:rowOff>
    </xdr:to>
    <xdr:cxnSp macro="">
      <xdr:nvCxnSpPr>
        <xdr:cNvPr id="38" name="Straight Arrow Connector 37">
          <a:extLst>
            <a:ext uri="{FF2B5EF4-FFF2-40B4-BE49-F238E27FC236}">
              <a16:creationId xmlns:a16="http://schemas.microsoft.com/office/drawing/2014/main" id="{87E9689E-CBC6-4463-B10C-B623E27260C8}"/>
            </a:ext>
          </a:extLst>
        </xdr:cNvPr>
        <xdr:cNvCxnSpPr>
          <a:cxnSpLocks/>
          <a:stCxn id="16" idx="1"/>
        </xdr:cNvCxnSpPr>
      </xdr:nvCxnSpPr>
      <xdr:spPr>
        <a:xfrm flipH="1">
          <a:off x="8234569" y="2838989"/>
          <a:ext cx="2223138" cy="47695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57978</xdr:colOff>
      <xdr:row>10</xdr:row>
      <xdr:rowOff>74544</xdr:rowOff>
    </xdr:from>
    <xdr:to>
      <xdr:col>17</xdr:col>
      <xdr:colOff>551707</xdr:colOff>
      <xdr:row>15</xdr:row>
      <xdr:rowOff>86264</xdr:rowOff>
    </xdr:to>
    <xdr:cxnSp macro="">
      <xdr:nvCxnSpPr>
        <xdr:cNvPr id="39" name="Straight Arrow Connector 38">
          <a:extLst>
            <a:ext uri="{FF2B5EF4-FFF2-40B4-BE49-F238E27FC236}">
              <a16:creationId xmlns:a16="http://schemas.microsoft.com/office/drawing/2014/main" id="{91024647-B21E-4816-A7CA-B39B035658CF}"/>
            </a:ext>
          </a:extLst>
        </xdr:cNvPr>
        <xdr:cNvCxnSpPr>
          <a:cxnSpLocks/>
          <a:stCxn id="16" idx="1"/>
        </xdr:cNvCxnSpPr>
      </xdr:nvCxnSpPr>
      <xdr:spPr>
        <a:xfrm flipH="1" flipV="1">
          <a:off x="9963978" y="1874769"/>
          <a:ext cx="493729" cy="964220"/>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14</xdr:col>
      <xdr:colOff>154918</xdr:colOff>
      <xdr:row>27</xdr:row>
      <xdr:rowOff>161404</xdr:rowOff>
    </xdr:from>
    <xdr:to>
      <xdr:col>15</xdr:col>
      <xdr:colOff>606490</xdr:colOff>
      <xdr:row>35</xdr:row>
      <xdr:rowOff>27004</xdr:rowOff>
    </xdr:to>
    <xdr:sp macro="" textlink="">
      <xdr:nvSpPr>
        <xdr:cNvPr id="40" name="TextBox 151">
          <a:extLst>
            <a:ext uri="{FF2B5EF4-FFF2-40B4-BE49-F238E27FC236}">
              <a16:creationId xmlns:a16="http://schemas.microsoft.com/office/drawing/2014/main" id="{B842A5C0-1501-45B3-9740-F8FFC500EAB5}"/>
            </a:ext>
          </a:extLst>
        </xdr:cNvPr>
        <xdr:cNvSpPr txBox="1"/>
      </xdr:nvSpPr>
      <xdr:spPr>
        <a:xfrm>
          <a:off x="8232118" y="5200129"/>
          <a:ext cx="1061172" cy="13896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rPr>
            <a:t>25. Warning shown if mainline pressure loss is too high or negative. If loss</a:t>
          </a:r>
          <a:r>
            <a:rPr lang="en-AU" sz="1000" baseline="0">
              <a:solidFill>
                <a:schemeClr val="bg1">
                  <a:lumMod val="95000"/>
                </a:schemeClr>
              </a:solidFill>
              <a:effectLst/>
            </a:rPr>
            <a:t> is negative, check pressure measurements and units.</a:t>
          </a:r>
          <a:endParaRPr lang="en-AU" sz="1000">
            <a:solidFill>
              <a:schemeClr val="bg1">
                <a:lumMod val="95000"/>
              </a:schemeClr>
            </a:solidFill>
            <a:effectLst/>
          </a:endParaRPr>
        </a:p>
      </xdr:txBody>
    </xdr:sp>
    <xdr:clientData/>
  </xdr:twoCellAnchor>
  <xdr:twoCellAnchor>
    <xdr:from>
      <xdr:col>11</xdr:col>
      <xdr:colOff>496957</xdr:colOff>
      <xdr:row>15</xdr:row>
      <xdr:rowOff>165652</xdr:rowOff>
    </xdr:from>
    <xdr:to>
      <xdr:col>15</xdr:col>
      <xdr:colOff>74248</xdr:colOff>
      <xdr:row>27</xdr:row>
      <xdr:rowOff>161404</xdr:rowOff>
    </xdr:to>
    <xdr:cxnSp macro="">
      <xdr:nvCxnSpPr>
        <xdr:cNvPr id="41" name="Straight Arrow Connector 40">
          <a:extLst>
            <a:ext uri="{FF2B5EF4-FFF2-40B4-BE49-F238E27FC236}">
              <a16:creationId xmlns:a16="http://schemas.microsoft.com/office/drawing/2014/main" id="{2EEBF4EF-A7E9-4837-8E2C-3240C8F96B26}"/>
            </a:ext>
          </a:extLst>
        </xdr:cNvPr>
        <xdr:cNvCxnSpPr>
          <a:cxnSpLocks/>
          <a:stCxn id="40" idx="0"/>
        </xdr:cNvCxnSpPr>
      </xdr:nvCxnSpPr>
      <xdr:spPr>
        <a:xfrm flipH="1" flipV="1">
          <a:off x="6745357" y="2918377"/>
          <a:ext cx="2015691" cy="2281752"/>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551707</xdr:colOff>
      <xdr:row>2</xdr:row>
      <xdr:rowOff>74544</xdr:rowOff>
    </xdr:from>
    <xdr:to>
      <xdr:col>22</xdr:col>
      <xdr:colOff>194342</xdr:colOff>
      <xdr:row>4</xdr:row>
      <xdr:rowOff>107673</xdr:rowOff>
    </xdr:to>
    <xdr:sp macro="" textlink="">
      <xdr:nvSpPr>
        <xdr:cNvPr id="42" name="TextBox 18">
          <a:extLst>
            <a:ext uri="{FF2B5EF4-FFF2-40B4-BE49-F238E27FC236}">
              <a16:creationId xmlns:a16="http://schemas.microsoft.com/office/drawing/2014/main" id="{18F87663-DB20-4807-BC63-D968AC971EC7}"/>
            </a:ext>
          </a:extLst>
        </xdr:cNvPr>
        <xdr:cNvSpPr txBox="1"/>
      </xdr:nvSpPr>
      <xdr:spPr>
        <a:xfrm>
          <a:off x="10457707" y="350769"/>
          <a:ext cx="2690635" cy="414129"/>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7. Warning</a:t>
          </a:r>
          <a:r>
            <a:rPr lang="en-AU" sz="1000" baseline="0">
              <a:solidFill>
                <a:schemeClr val="lt1"/>
              </a:solidFill>
              <a:effectLst/>
              <a:latin typeface="+mn-lt"/>
              <a:ea typeface="+mn-ea"/>
              <a:cs typeface="+mn-cs"/>
            </a:rPr>
            <a:t> shown if pressure measurements indicate a gain of pressure along the main boom.</a:t>
          </a:r>
        </a:p>
        <a:p>
          <a:endParaRPr lang="en-AU" sz="1000">
            <a:solidFill>
              <a:schemeClr val="lt1"/>
            </a:solidFill>
            <a:effectLst/>
            <a:latin typeface="+mn-lt"/>
            <a:ea typeface="+mn-ea"/>
            <a:cs typeface="+mn-cs"/>
          </a:endParaRPr>
        </a:p>
      </xdr:txBody>
    </xdr:sp>
    <xdr:clientData/>
  </xdr:twoCellAnchor>
  <xdr:twoCellAnchor>
    <xdr:from>
      <xdr:col>14</xdr:col>
      <xdr:colOff>24847</xdr:colOff>
      <xdr:row>3</xdr:row>
      <xdr:rowOff>91109</xdr:rowOff>
    </xdr:from>
    <xdr:to>
      <xdr:col>17</xdr:col>
      <xdr:colOff>551707</xdr:colOff>
      <xdr:row>12</xdr:row>
      <xdr:rowOff>99391</xdr:rowOff>
    </xdr:to>
    <xdr:cxnSp macro="">
      <xdr:nvCxnSpPr>
        <xdr:cNvPr id="43" name="Straight Arrow Connector 42">
          <a:extLst>
            <a:ext uri="{FF2B5EF4-FFF2-40B4-BE49-F238E27FC236}">
              <a16:creationId xmlns:a16="http://schemas.microsoft.com/office/drawing/2014/main" id="{20F86086-CA89-4EB2-8310-11F9B5374570}"/>
            </a:ext>
          </a:extLst>
        </xdr:cNvPr>
        <xdr:cNvCxnSpPr>
          <a:cxnSpLocks/>
          <a:stCxn id="42" idx="1"/>
        </xdr:cNvCxnSpPr>
      </xdr:nvCxnSpPr>
      <xdr:spPr>
        <a:xfrm flipH="1">
          <a:off x="8102047" y="557834"/>
          <a:ext cx="2355660" cy="1722782"/>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93344</xdr:colOff>
      <xdr:row>3</xdr:row>
      <xdr:rowOff>75784</xdr:rowOff>
    </xdr:from>
    <xdr:to>
      <xdr:col>5</xdr:col>
      <xdr:colOff>17692</xdr:colOff>
      <xdr:row>6</xdr:row>
      <xdr:rowOff>140804</xdr:rowOff>
    </xdr:to>
    <xdr:sp macro="" textlink="">
      <xdr:nvSpPr>
        <xdr:cNvPr id="44" name="TextBox 9">
          <a:extLst>
            <a:ext uri="{FF2B5EF4-FFF2-40B4-BE49-F238E27FC236}">
              <a16:creationId xmlns:a16="http://schemas.microsoft.com/office/drawing/2014/main" id="{01FC043F-6986-4652-8050-35D99943420A}"/>
            </a:ext>
          </a:extLst>
        </xdr:cNvPr>
        <xdr:cNvSpPr txBox="1"/>
      </xdr:nvSpPr>
      <xdr:spPr>
        <a:xfrm>
          <a:off x="245744" y="542509"/>
          <a:ext cx="2362748" cy="636520"/>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1.</a:t>
          </a:r>
          <a:r>
            <a:rPr lang="en-AU" sz="1000" baseline="0">
              <a:solidFill>
                <a:schemeClr val="bg1">
                  <a:lumMod val="95000"/>
                </a:schemeClr>
              </a:solidFill>
              <a:effectLst/>
              <a:latin typeface="+mn-lt"/>
              <a:ea typeface="+mn-ea"/>
              <a:cs typeface="+mn-cs"/>
            </a:rPr>
            <a:t> Energy cost summary figures</a:t>
          </a:r>
        </a:p>
        <a:p>
          <a:r>
            <a:rPr lang="en-AU" sz="1000" baseline="0">
              <a:solidFill>
                <a:schemeClr val="bg1">
                  <a:lumMod val="95000"/>
                </a:schemeClr>
              </a:solidFill>
              <a:effectLst/>
              <a:latin typeface="+mn-lt"/>
              <a:ea typeface="+mn-ea"/>
              <a:cs typeface="+mn-cs"/>
            </a:rPr>
            <a:t>This estimates the annual energy use and costs, as well as the pumping cost per ML.</a:t>
          </a:r>
        </a:p>
        <a:p>
          <a:endParaRPr lang="en-AU" sz="1000" baseline="0">
            <a:solidFill>
              <a:schemeClr val="bg1">
                <a:lumMod val="95000"/>
              </a:schemeClr>
            </a:solidFill>
            <a:effectLst/>
            <a:latin typeface="+mn-lt"/>
            <a:ea typeface="+mn-ea"/>
            <a:cs typeface="+mn-cs"/>
          </a:endParaRPr>
        </a:p>
      </xdr:txBody>
    </xdr:sp>
    <xdr:clientData/>
  </xdr:twoCellAnchor>
  <xdr:twoCellAnchor>
    <xdr:from>
      <xdr:col>5</xdr:col>
      <xdr:colOff>17692</xdr:colOff>
      <xdr:row>5</xdr:row>
      <xdr:rowOff>13044</xdr:rowOff>
    </xdr:from>
    <xdr:to>
      <xdr:col>6</xdr:col>
      <xdr:colOff>364435</xdr:colOff>
      <xdr:row>8</xdr:row>
      <xdr:rowOff>16565</xdr:rowOff>
    </xdr:to>
    <xdr:cxnSp macro="">
      <xdr:nvCxnSpPr>
        <xdr:cNvPr id="45" name="Straight Arrow Connector 44">
          <a:extLst>
            <a:ext uri="{FF2B5EF4-FFF2-40B4-BE49-F238E27FC236}">
              <a16:creationId xmlns:a16="http://schemas.microsoft.com/office/drawing/2014/main" id="{1508EE20-C064-4BB1-8F34-466B960345DE}"/>
            </a:ext>
          </a:extLst>
        </xdr:cNvPr>
        <xdr:cNvCxnSpPr>
          <a:cxnSpLocks/>
          <a:stCxn id="44" idx="3"/>
        </xdr:cNvCxnSpPr>
      </xdr:nvCxnSpPr>
      <xdr:spPr>
        <a:xfrm>
          <a:off x="2608492" y="860769"/>
          <a:ext cx="956343" cy="575021"/>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12</xdr:col>
      <xdr:colOff>466543</xdr:colOff>
      <xdr:row>27</xdr:row>
      <xdr:rowOff>161404</xdr:rowOff>
    </xdr:from>
    <xdr:to>
      <xdr:col>14</xdr:col>
      <xdr:colOff>90511</xdr:colOff>
      <xdr:row>35</xdr:row>
      <xdr:rowOff>27004</xdr:rowOff>
    </xdr:to>
    <xdr:sp macro="" textlink="">
      <xdr:nvSpPr>
        <xdr:cNvPr id="46" name="TextBox 151">
          <a:extLst>
            <a:ext uri="{FF2B5EF4-FFF2-40B4-BE49-F238E27FC236}">
              <a16:creationId xmlns:a16="http://schemas.microsoft.com/office/drawing/2014/main" id="{9FAC7886-A77C-4591-AE9E-32BBB10961E8}"/>
            </a:ext>
          </a:extLst>
        </xdr:cNvPr>
        <xdr:cNvSpPr txBox="1"/>
      </xdr:nvSpPr>
      <xdr:spPr>
        <a:xfrm>
          <a:off x="7324543" y="5200129"/>
          <a:ext cx="843168" cy="13896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rPr>
            <a:t>24. Pump duty.</a:t>
          </a:r>
        </a:p>
        <a:p>
          <a:r>
            <a:rPr lang="en-AU" sz="1000">
              <a:solidFill>
                <a:schemeClr val="bg1">
                  <a:lumMod val="95000"/>
                </a:schemeClr>
              </a:solidFill>
              <a:effectLst/>
            </a:rPr>
            <a:t>This is</a:t>
          </a:r>
          <a:r>
            <a:rPr lang="en-AU" sz="1000" baseline="0">
              <a:solidFill>
                <a:schemeClr val="bg1">
                  <a:lumMod val="95000"/>
                </a:schemeClr>
              </a:solidFill>
              <a:effectLst/>
            </a:rPr>
            <a:t> the current rate of work and energy consumption of the pump.</a:t>
          </a:r>
          <a:endParaRPr lang="en-AU" sz="1000">
            <a:solidFill>
              <a:schemeClr val="bg1">
                <a:lumMod val="95000"/>
              </a:schemeClr>
            </a:solidFill>
            <a:effectLst/>
          </a:endParaRPr>
        </a:p>
      </xdr:txBody>
    </xdr:sp>
    <xdr:clientData/>
  </xdr:twoCellAnchor>
  <xdr:twoCellAnchor>
    <xdr:from>
      <xdr:col>11</xdr:col>
      <xdr:colOff>422413</xdr:colOff>
      <xdr:row>19</xdr:row>
      <xdr:rowOff>16565</xdr:rowOff>
    </xdr:from>
    <xdr:to>
      <xdr:col>13</xdr:col>
      <xdr:colOff>278528</xdr:colOff>
      <xdr:row>27</xdr:row>
      <xdr:rowOff>161404</xdr:rowOff>
    </xdr:to>
    <xdr:cxnSp macro="">
      <xdr:nvCxnSpPr>
        <xdr:cNvPr id="47" name="Straight Arrow Connector 46">
          <a:extLst>
            <a:ext uri="{FF2B5EF4-FFF2-40B4-BE49-F238E27FC236}">
              <a16:creationId xmlns:a16="http://schemas.microsoft.com/office/drawing/2014/main" id="{783AA511-FD1A-4A15-87E3-03E5A60E6F3C}"/>
            </a:ext>
          </a:extLst>
        </xdr:cNvPr>
        <xdr:cNvCxnSpPr>
          <a:cxnSpLocks/>
          <a:stCxn id="46" idx="0"/>
        </xdr:cNvCxnSpPr>
      </xdr:nvCxnSpPr>
      <xdr:spPr>
        <a:xfrm flipH="1" flipV="1">
          <a:off x="6670813" y="3531290"/>
          <a:ext cx="1075315" cy="1668839"/>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551707</xdr:colOff>
      <xdr:row>8</xdr:row>
      <xdr:rowOff>28148</xdr:rowOff>
    </xdr:from>
    <xdr:to>
      <xdr:col>22</xdr:col>
      <xdr:colOff>194342</xdr:colOff>
      <xdr:row>11</xdr:row>
      <xdr:rowOff>168952</xdr:rowOff>
    </xdr:to>
    <xdr:sp macro="" textlink="">
      <xdr:nvSpPr>
        <xdr:cNvPr id="48" name="TextBox 18">
          <a:extLst>
            <a:ext uri="{FF2B5EF4-FFF2-40B4-BE49-F238E27FC236}">
              <a16:creationId xmlns:a16="http://schemas.microsoft.com/office/drawing/2014/main" id="{E0C579F9-5BEF-4FF2-9EE9-2C5ED98BBF01}"/>
            </a:ext>
          </a:extLst>
        </xdr:cNvPr>
        <xdr:cNvSpPr txBox="1"/>
      </xdr:nvSpPr>
      <xdr:spPr>
        <a:xfrm>
          <a:off x="10457707" y="1447373"/>
          <a:ext cx="2690635" cy="712304"/>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9. Pumping costs breakdown pie chart.</a:t>
          </a:r>
        </a:p>
        <a:p>
          <a:r>
            <a:rPr lang="en-AU" sz="1000" baseline="0">
              <a:solidFill>
                <a:schemeClr val="lt1"/>
              </a:solidFill>
              <a:effectLst/>
              <a:latin typeface="+mn-lt"/>
              <a:ea typeface="+mn-ea"/>
              <a:cs typeface="+mn-cs"/>
            </a:rPr>
            <a:t>This chart displays the energy cost of each system component, and the relative portion of energy consumption by component.</a:t>
          </a:r>
        </a:p>
        <a:p>
          <a:endParaRPr lang="en-AU" sz="1000">
            <a:solidFill>
              <a:schemeClr val="lt1"/>
            </a:solidFill>
            <a:effectLst/>
            <a:latin typeface="+mn-lt"/>
            <a:ea typeface="+mn-ea"/>
            <a:cs typeface="+mn-cs"/>
          </a:endParaRPr>
        </a:p>
      </xdr:txBody>
    </xdr:sp>
    <xdr:clientData/>
  </xdr:twoCellAnchor>
  <xdr:twoCellAnchor>
    <xdr:from>
      <xdr:col>16</xdr:col>
      <xdr:colOff>240195</xdr:colOff>
      <xdr:row>10</xdr:row>
      <xdr:rowOff>3300</xdr:rowOff>
    </xdr:from>
    <xdr:to>
      <xdr:col>17</xdr:col>
      <xdr:colOff>551707</xdr:colOff>
      <xdr:row>14</xdr:row>
      <xdr:rowOff>82826</xdr:rowOff>
    </xdr:to>
    <xdr:cxnSp macro="">
      <xdr:nvCxnSpPr>
        <xdr:cNvPr id="49" name="Straight Arrow Connector 48">
          <a:extLst>
            <a:ext uri="{FF2B5EF4-FFF2-40B4-BE49-F238E27FC236}">
              <a16:creationId xmlns:a16="http://schemas.microsoft.com/office/drawing/2014/main" id="{0D4C3FC3-2A1E-46C0-AB30-01DB39ABE807}"/>
            </a:ext>
          </a:extLst>
        </xdr:cNvPr>
        <xdr:cNvCxnSpPr>
          <a:cxnSpLocks/>
          <a:stCxn id="48" idx="1"/>
        </xdr:cNvCxnSpPr>
      </xdr:nvCxnSpPr>
      <xdr:spPr>
        <a:xfrm flipH="1">
          <a:off x="9536595" y="1803525"/>
          <a:ext cx="921112" cy="841526"/>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180974</xdr:colOff>
      <xdr:row>40</xdr:row>
      <xdr:rowOff>19051</xdr:rowOff>
    </xdr:from>
    <xdr:to>
      <xdr:col>6</xdr:col>
      <xdr:colOff>447675</xdr:colOff>
      <xdr:row>73</xdr:row>
      <xdr:rowOff>19051</xdr:rowOff>
    </xdr:to>
    <xdr:graphicFrame macro="">
      <xdr:nvGraphicFramePr>
        <xdr:cNvPr id="2" name="Chart 1">
          <a:extLst>
            <a:ext uri="{FF2B5EF4-FFF2-40B4-BE49-F238E27FC236}">
              <a16:creationId xmlns:a16="http://schemas.microsoft.com/office/drawing/2014/main" id="{FB124832-067F-4325-A455-557719C4F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nergy%20awareness%20spreadsheet%20for%20distribution_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information"/>
      <sheetName val="Identify efficiency (3)"/>
      <sheetName val="Sheet3"/>
      <sheetName val="Endgun models"/>
      <sheetName val="Endguns"/>
      <sheetName val="Compare energy costs"/>
      <sheetName val="Identify efficiency (2)"/>
      <sheetName val="Identify efficiency"/>
      <sheetName val="Chart1"/>
      <sheetName val="Compare op and cap costs"/>
      <sheetName val="Pump and pipe pressure"/>
      <sheetName val="Pump&amp;pipeLists"/>
      <sheetName val="Sheet1"/>
      <sheetName val="Sheet4"/>
      <sheetName val="Pivot headloss"/>
      <sheetName val="Pipe sizes"/>
      <sheetName val="Identify efficiency graph"/>
      <sheetName val="Energy awareness spreadsheet fo"/>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F5089DD-3B77-4A3F-94A6-00F52940C3E9}" name="Input" displayName="Input" ref="V6:V9" totalsRowShown="0" headerRowDxfId="107" dataDxfId="106">
  <autoFilter ref="V6:V9" xr:uid="{70C50C16-1CE9-4A03-8323-96D4AC7179A7}"/>
  <tableColumns count="1">
    <tableColumn id="1" xr3:uid="{E80C08FD-6212-4572-8F89-B1E1C301F247}" name="Input data" dataDxfId="105"/>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7F806CB7-B0B1-4FFF-A98E-74DF6082A7A4}" name="Table51" displayName="Table51" ref="W3:W10" totalsRowShown="0" headerRowDxfId="31" headerRowBorderDxfId="30">
  <autoFilter ref="W3:W10" xr:uid="{EA97C8FF-F42D-4374-A812-A5AEBFBFA264}"/>
  <tableColumns count="1">
    <tableColumn id="1" xr3:uid="{6BD043AC-C6E9-4F18-8BC3-759A2723D86D}" name="R55VT"/>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87F2B65D-9E07-4613-8577-270A1CD49EE8}" name="Table52" displayName="Table52" ref="X3:X12" totalsRowShown="0" headerRowDxfId="29" headerRowBorderDxfId="28">
  <autoFilter ref="X3:X12" xr:uid="{9AF23F60-FDD9-4BD0-B43A-E36E78C86999}"/>
  <tableColumns count="1">
    <tableColumn id="1" xr3:uid="{0651800C-C529-431E-A040-A88925470072}" name="SR75"/>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55E9A95-00EF-4BB0-91B1-33B7F277A5F3}" name="Table53" displayName="Table53" ref="Y3:Y13" totalsRowShown="0" headerRowDxfId="27" headerRowBorderDxfId="26">
  <autoFilter ref="Y3:Y13" xr:uid="{59F1FEBA-E3B1-40D1-A37D-0560B6731687}"/>
  <tableColumns count="1">
    <tableColumn id="1" xr3:uid="{A3FB1F8C-AA0C-4126-BF00-64E146DC5FE1}" name="SR100"/>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164D6C8D-29B7-403D-B75D-B959102AE8F3}" name="Table47" displayName="Table47" ref="T3:T7" totalsRowShown="0" headerRowDxfId="25" headerRowBorderDxfId="24">
  <autoFilter ref="T3:T7" xr:uid="{C9627765-6E50-4870-B3E7-FE358EC53B32}"/>
  <tableColumns count="1">
    <tableColumn id="1" xr3:uid="{66D75925-68A5-462A-BEF7-37D1EFA85B6E}" name="R55A"/>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F0CCAEC-4DF8-4886-9840-C41D723D6917}" name="Table2" displayName="Table2" ref="Z3:Z9" totalsRowShown="0" headerRowDxfId="23" headerRowBorderDxfId="22">
  <autoFilter ref="Z3:Z9" xr:uid="{CE538CA9-3EE5-49FB-8FA4-AEC6167964D2}"/>
  <tableColumns count="1">
    <tableColumn id="1" xr3:uid="{379602B0-F060-4422-B39A-76DDE9F94077}" name="R55i VT"/>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6E3369-57CD-4F06-BBCB-99E5E0DC15C8}" name="Table3" displayName="Table3" ref="AA3:AA7" totalsRowShown="0" headerRowDxfId="21" headerRowBorderDxfId="20">
  <autoFilter ref="AA3:AA7" xr:uid="{3CF2F095-DC9B-41F9-998A-865F2E654853}"/>
  <tableColumns count="1">
    <tableColumn id="1" xr3:uid="{0EB12500-EB3E-4D95-B08A-CDE31A3028A2}" name="End Spray"/>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FB3F75-7720-4D86-877D-3C2AE0F4E4E4}" name="Table4" displayName="Table4" ref="AB3:AB14" totalsRowShown="0" headerRowDxfId="19" headerRowBorderDxfId="18">
  <autoFilter ref="AB3:AB14" xr:uid="{7529B7A4-B39E-4874-9DC6-17F5466CDD95}"/>
  <tableColumns count="1">
    <tableColumn id="1" xr3:uid="{EF5AA0F7-FE39-4AEE-B640-245456B9C52D}" name="SR101+"/>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FA0033D-4A6F-422E-8F2D-69F1AA458E5B}" name="Table5" displayName="Table5" ref="AC3:AC11" totalsRowShown="0" headerRowDxfId="17" headerRowBorderDxfId="16">
  <autoFilter ref="AC3:AC11" xr:uid="{EDD024B6-CE6F-4B09-9E9B-32F72CFCAC80}"/>
  <tableColumns count="1">
    <tableColumn id="1" xr3:uid="{5C8BEB1A-693B-4094-A5C4-FE6C831A1CB6}" name="SR150"/>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BAFF58-3186-4DF9-8B2E-C25CE43F057A}" name="Table6" displayName="Table6" ref="AD3:AD12" totalsRowShown="0" headerRowDxfId="15" headerRowBorderDxfId="14">
  <autoFilter ref="AD3:AD12" xr:uid="{26156EE5-E09D-4514-8D67-45C126C149DC}"/>
  <tableColumns count="1">
    <tableColumn id="1" xr3:uid="{2CD99DBC-3161-4A61-9F1A-ADCF480B7F2A}" name="Twin101Ultra"/>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1D23D97-72D8-4EA0-A5CC-55514DA0C483}" name="Table7" displayName="Table7" ref="AE3:AE15" totalsRowShown="0" headerRowDxfId="13" headerRowBorderDxfId="12">
  <autoFilter ref="AE3:AE15" xr:uid="{62C8D216-C840-463B-9251-43FDD19FB441}"/>
  <tableColumns count="1">
    <tableColumn id="1" xr3:uid="{3E5F17A2-B434-404F-AED7-E8ECABB821BF}" name="Twin14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B3DA4D6-238C-4736-A594-F99EF15504DA}" name="Estimate" displayName="Estimate" ref="W6:W10" totalsRowShown="0" headerRowDxfId="104" dataDxfId="103">
  <autoFilter ref="W6:W10" xr:uid="{E410BEC9-AE16-4AAD-B21B-577CC0B1447B}"/>
  <tableColumns count="1">
    <tableColumn id="1" xr3:uid="{3438D1FB-53B8-4B42-9BB0-9D48E663FB5A}" name="Estimate data" dataDxfId="102"/>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353C929-D8CA-488D-85EB-F4D3D02A178A}" name="Table8" displayName="Table8" ref="AF3:AF13" totalsRowShown="0" headerRowDxfId="11" headerRowBorderDxfId="10">
  <autoFilter ref="AF3:AF13" xr:uid="{9ACE31D5-168F-40E0-A6E1-976EF978C8E9}"/>
  <tableColumns count="1">
    <tableColumn id="1" xr3:uid="{479AE38D-C433-4C90-B152-B005160D12A1}" name="Twin140Ultra"/>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C24E070-F92D-4167-B1A0-1384E1EAF346}" name="Table9" displayName="Table9" ref="AG3:AG14" totalsRowShown="0" headerRowDxfId="9" headerRowBorderDxfId="8">
  <autoFilter ref="AG3:AG14" xr:uid="{1DCE2D18-1275-4C66-ACCF-F58AE0ED53E5}"/>
  <tableColumns count="1">
    <tableColumn id="1" xr3:uid="{5AF33C87-B3B9-4FCE-B42C-339F5535C84D}" name="Twin160"/>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6FE4573-4B70-4FDC-806D-21D3E28537B4}" name="Table10" displayName="Table10" ref="AH3:AH18" totalsRowShown="0" headerRowDxfId="7" headerRowBorderDxfId="6">
  <autoFilter ref="AH3:AH18" xr:uid="{F5908478-C2E4-4D01-989E-04CC0D5D1C83}"/>
  <tableColumns count="1">
    <tableColumn id="1" xr3:uid="{92D1EEF4-FB09-4F26-A000-C2B132315181}" name="Twin202+"/>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F21BE3E-AB36-4834-A973-2234F4674CF8}" name="Table11" displayName="Table11" ref="AI3:AI16" totalsRowShown="0" headerRowDxfId="5" headerRowBorderDxfId="4">
  <autoFilter ref="AI3:AI16" xr:uid="{41290112-C962-471F-93D9-BAD8D6D9EDC7}"/>
  <tableColumns count="1">
    <tableColumn id="1" xr3:uid="{472B5C80-45BF-43DC-AE96-AE3A6136FAF3}" name="Twin202Ultra"/>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7C05F91-0A7B-4B17-9059-EDF34D4C7DFD}" name="Table12" displayName="Table12" ref="AJ3:AJ9" totalsRowShown="0" headerRowDxfId="3" headerRowBorderDxfId="2">
  <autoFilter ref="AJ3:AJ9" xr:uid="{5A895D49-F159-4690-A48C-CF867081B2FA}"/>
  <tableColumns count="1">
    <tableColumn id="1" xr3:uid="{0229912B-F1E7-4C1C-AF32-8B4882ABE49E}" name="X100-51H24"/>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76487C3-0FA0-4FBA-B307-1DFE332B8B92}" name="Table13" displayName="Table13" ref="AK3:AK16" totalsRowShown="0" headerRowDxfId="1" headerRowBorderDxfId="0">
  <autoFilter ref="AK3:AK16" xr:uid="{DCDB39E0-D6F5-49C7-BB0D-2E726F1D8EE0}"/>
  <tableColumns count="1">
    <tableColumn id="1" xr3:uid="{08AD43E3-8F8A-4076-B3F4-56580F8B4C41}" name="X100-51L2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F10405D-AE35-457C-ABF9-8941435D444D}" name="Table462" displayName="Table462" ref="AZ23:AZ25" totalsRowShown="0" headerRowDxfId="73" dataDxfId="71" headerRowBorderDxfId="72">
  <autoFilter ref="AZ23:AZ25" xr:uid="{ED7EB045-524B-4542-BEA5-C1CD6482FF6C}"/>
  <tableColumns count="1">
    <tableColumn id="1" xr3:uid="{6A4A006D-BA3C-4C29-957C-D693322668DF}" name="Booster" dataDxfId="7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F88C024D-ACF3-476B-9773-5CFCC89DE221}" name="Endgun" displayName="Endgun" ref="L3:O25" totalsRowShown="0" headerRowDxfId="49">
  <autoFilter ref="L3:O25" xr:uid="{26D51C00-539D-4977-AC9B-F73358E34D98}"/>
  <tableColumns count="4">
    <tableColumn id="1" xr3:uid="{73886C31-4CAB-442A-BA04-BCECEED785FA}" name="End gun"/>
    <tableColumn id="2" xr3:uid="{E3D8073E-24B5-4EE7-B903-81AAF4C6665C}" name="Table" dataDxfId="48"/>
    <tableColumn id="3" xr3:uid="{3E26433C-4141-416E-BA43-4EF7909C4A4D}" name="Add Resid" dataDxfId="47"/>
    <tableColumn id="4" xr3:uid="{E5159EA8-6E77-4D1A-8067-93A3C6AC5326}" name="Col"/>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53CF0714-A46E-4859-8DD6-9099DD936F8A}" name="Table244" displayName="Table244" ref="Q3:Q9" totalsRowShown="0" headerRowDxfId="46" headerRowBorderDxfId="45" tableBorderDxfId="44">
  <autoFilter ref="Q3:Q9" xr:uid="{8AC71BBF-DE1A-4B5F-B9AB-4CB6C060B647}"/>
  <tableColumns count="1">
    <tableColumn id="1" xr3:uid="{E322DCC2-C32B-4ACA-9A33-9CABC07B67F7}" name="X100-51H1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FD15894-D3A3-4D63-A0C9-5C8FE15F739A}" name="Table345" displayName="Table345" ref="R3:R21" totalsRowShown="0" headerRowDxfId="43" headerRowBorderDxfId="42" tableBorderDxfId="41">
  <autoFilter ref="R3:R21" xr:uid="{0E17EDB6-FE4D-4B52-9DBD-BBB6101F5D9D}"/>
  <tableColumns count="1">
    <tableColumn id="1" xr3:uid="{D3473A4E-9E80-481A-BC5C-DAED155DFF46}" name="X100-51L1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D2A6A3CA-5120-4107-A2B1-C9A132F3B402}" name="Table45" displayName="Table45" ref="S3:S21" totalsRowShown="0" headerRowDxfId="40" dataDxfId="39">
  <autoFilter ref="S3:S21" xr:uid="{03DAA920-CD35-4282-BE38-D603FAFB1B3E}"/>
  <tableColumns count="1">
    <tableColumn id="1" xr3:uid="{93995855-4165-4CC0-ACC5-DC0864743658}" name="TwinMax18deg" dataDxfId="3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D879A76-1866-4293-94DB-D27317341E9D}" name="Table49" displayName="Table49" ref="U3:U9" totalsRowShown="0" headerRowDxfId="37" headerRowBorderDxfId="36">
  <autoFilter ref="U3:U9" xr:uid="{27A47A77-C252-4F48-8DF7-89BB9C239224}"/>
  <tableColumns count="1">
    <tableColumn id="1" xr3:uid="{6BF0FC9D-C664-4389-9173-E7001E7078EB}" name="R75LP" dataDxfId="35"/>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338B1B2A-AF50-4275-9FDB-5A2EA564199E}" name="Table50" displayName="Table50" ref="V3:V9" totalsRowShown="0" headerRowDxfId="34" headerRowBorderDxfId="33">
  <autoFilter ref="V3:V9" xr:uid="{9E92A5B1-0E77-4805-87FF-DB7FAB8BAA8F}"/>
  <tableColumns count="1">
    <tableColumn id="1" xr3:uid="{ED191F7D-9775-45A3-9F48-855AD1D85293}" name="R75" dataDxfId="32"/>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65016903-00D9-4618-8DF1-A64CEFB6E760}">
  <we:reference id="wa104100404" version="3.0.0.1" store="en-US" storeType="OMEX"/>
  <we:alternateReferences>
    <we:reference id="wa104100404" version="3.0.0.1" store="WA104100404" storeType="OMEX"/>
  </we:alternateReferences>
  <we:properties>
    <we:property name="UniqueID" value="&quot;2021791628488234138&quot;"/>
    <we:property name="PFQvJy0KIihMVjMuDgkGEF4pMHlLd3hNfDci" value="&quot;&quot;"/>
  </we:properties>
  <we:bindings>
    <we:binding id="refEdit" type="matrix" appref="{E95100BE-5C73-4F06-9EDB-F4F2E0E45D8B}"/>
    <we:binding id="Worker" type="matrix" appref="{8C747CA2-4A23-4A38-A70C-DD2E2B3AC786}"/>
  </we:bindings>
  <we:snapshot xmlns:r="http://schemas.openxmlformats.org/officeDocument/2006/relationships"/>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table" Target="../tables/table2.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0.xml"/><Relationship Id="rId13" Type="http://schemas.openxmlformats.org/officeDocument/2006/relationships/table" Target="../tables/table15.xml"/><Relationship Id="rId18" Type="http://schemas.openxmlformats.org/officeDocument/2006/relationships/table" Target="../tables/table20.xml"/><Relationship Id="rId3" Type="http://schemas.openxmlformats.org/officeDocument/2006/relationships/table" Target="../tables/table5.xml"/><Relationship Id="rId21" Type="http://schemas.openxmlformats.org/officeDocument/2006/relationships/table" Target="../tables/table23.xml"/><Relationship Id="rId7" Type="http://schemas.openxmlformats.org/officeDocument/2006/relationships/table" Target="../tables/table9.xml"/><Relationship Id="rId12" Type="http://schemas.openxmlformats.org/officeDocument/2006/relationships/table" Target="../tables/table14.xml"/><Relationship Id="rId17" Type="http://schemas.openxmlformats.org/officeDocument/2006/relationships/table" Target="../tables/table19.xml"/><Relationship Id="rId2" Type="http://schemas.openxmlformats.org/officeDocument/2006/relationships/table" Target="../tables/table4.xml"/><Relationship Id="rId16" Type="http://schemas.openxmlformats.org/officeDocument/2006/relationships/table" Target="../tables/table18.xml"/><Relationship Id="rId20" Type="http://schemas.openxmlformats.org/officeDocument/2006/relationships/table" Target="../tables/table22.xml"/><Relationship Id="rId1" Type="http://schemas.openxmlformats.org/officeDocument/2006/relationships/printerSettings" Target="../printerSettings/printerSettings5.bin"/><Relationship Id="rId6" Type="http://schemas.openxmlformats.org/officeDocument/2006/relationships/table" Target="../tables/table8.xml"/><Relationship Id="rId11" Type="http://schemas.openxmlformats.org/officeDocument/2006/relationships/table" Target="../tables/table13.xml"/><Relationship Id="rId5" Type="http://schemas.openxmlformats.org/officeDocument/2006/relationships/table" Target="../tables/table7.xml"/><Relationship Id="rId15" Type="http://schemas.openxmlformats.org/officeDocument/2006/relationships/table" Target="../tables/table17.xml"/><Relationship Id="rId23" Type="http://schemas.openxmlformats.org/officeDocument/2006/relationships/table" Target="../tables/table25.xml"/><Relationship Id="rId10" Type="http://schemas.openxmlformats.org/officeDocument/2006/relationships/table" Target="../tables/table12.xml"/><Relationship Id="rId19" Type="http://schemas.openxmlformats.org/officeDocument/2006/relationships/table" Target="../tables/table21.xml"/><Relationship Id="rId4" Type="http://schemas.openxmlformats.org/officeDocument/2006/relationships/table" Target="../tables/table6.xml"/><Relationship Id="rId9" Type="http://schemas.openxmlformats.org/officeDocument/2006/relationships/table" Target="../tables/table11.xml"/><Relationship Id="rId14" Type="http://schemas.openxmlformats.org/officeDocument/2006/relationships/table" Target="../tables/table16.xml"/><Relationship Id="rId22" Type="http://schemas.openxmlformats.org/officeDocument/2006/relationships/table" Target="../tables/table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11E7C-AED2-491F-A2A2-96A8E848302F}">
  <sheetPr>
    <tabColor rgb="FF92D050"/>
  </sheetPr>
  <dimension ref="A3:R17"/>
  <sheetViews>
    <sheetView showGridLines="0" tabSelected="1" zoomScaleNormal="100" workbookViewId="0">
      <selection activeCell="Q3" sqref="Q3"/>
    </sheetView>
  </sheetViews>
  <sheetFormatPr defaultRowHeight="15" x14ac:dyDescent="0.25"/>
  <sheetData>
    <row r="3" spans="1:18" x14ac:dyDescent="0.25">
      <c r="R3" s="357" t="s">
        <v>564</v>
      </c>
    </row>
    <row r="6" spans="1:18" ht="15" customHeight="1" x14ac:dyDescent="0.25">
      <c r="N6" s="190"/>
      <c r="O6" s="190"/>
    </row>
    <row r="7" spans="1:18" ht="15" customHeight="1" x14ac:dyDescent="0.25">
      <c r="N7" s="190"/>
      <c r="O7" s="190"/>
    </row>
    <row r="8" spans="1:18" x14ac:dyDescent="0.25">
      <c r="N8" s="191"/>
      <c r="O8" s="191"/>
    </row>
    <row r="9" spans="1:18" x14ac:dyDescent="0.25">
      <c r="N9" s="191"/>
      <c r="O9" s="191"/>
    </row>
    <row r="10" spans="1:18" x14ac:dyDescent="0.25">
      <c r="N10" s="191"/>
      <c r="O10" s="191"/>
    </row>
    <row r="11" spans="1:18" x14ac:dyDescent="0.25">
      <c r="N11" s="191"/>
      <c r="O11" s="191"/>
    </row>
    <row r="13" spans="1:18" ht="15.75" x14ac:dyDescent="0.25">
      <c r="N13" s="192"/>
      <c r="O13" s="192"/>
    </row>
    <row r="14" spans="1:18" x14ac:dyDescent="0.25">
      <c r="A14" s="186"/>
    </row>
    <row r="15" spans="1:18" x14ac:dyDescent="0.25">
      <c r="A15" s="193"/>
      <c r="B15" s="194"/>
    </row>
    <row r="16" spans="1:18" x14ac:dyDescent="0.25">
      <c r="B16" s="194"/>
    </row>
    <row r="17" spans="1:1" x14ac:dyDescent="0.25">
      <c r="A17" s="195"/>
    </row>
  </sheetData>
  <sheetProtection algorithmName="SHA-512" hashValue="iyWeoMD3Y+MFLDrqjFVzh7vSqaiMgQh/fDsbAXRGjRGMNiZGQ22VEtPHu9tl3ldODSjNAalFBPOztiwlnZtUAQ==" saltValue="fGzI7SngRjMUc9T0YFHBrg==" spinCount="100000" sheet="1" selectLockedCells="1"/>
  <pageMargins left="0.7" right="0.7" top="0.75" bottom="0.75" header="0.3" footer="0.3"/>
  <pageSetup paperSize="9" orientation="portrait" horizontalDpi="90" verticalDpi="90" r:id="rId1"/>
  <headerFooter>
    <oddHeader>&amp;C&amp;"Calibri"&amp;12&amp;K000000UNOFFICIAL&amp;1#</oddHeader>
    <oddFooter>&amp;C&amp;1#&amp;"Calibri"&amp;12&amp;K000000UNOFFICIAL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939DE-B2F5-461C-B8DF-F84FD21A7DE3}">
  <dimension ref="A1:R192"/>
  <sheetViews>
    <sheetView workbookViewId="0"/>
  </sheetViews>
  <sheetFormatPr defaultRowHeight="15" x14ac:dyDescent="0.25"/>
  <cols>
    <col min="5" max="5" width="10.7109375" bestFit="1" customWidth="1"/>
    <col min="13" max="13" width="17.140625" customWidth="1"/>
    <col min="14" max="14" width="12.7109375" bestFit="1" customWidth="1"/>
    <col min="15" max="15" width="10" bestFit="1" customWidth="1"/>
    <col min="16" max="16" width="16.28515625" bestFit="1" customWidth="1"/>
    <col min="17" max="17" width="12.5703125" bestFit="1" customWidth="1"/>
    <col min="18" max="18" width="13.28515625" bestFit="1" customWidth="1"/>
    <col min="19" max="19" width="4" bestFit="1" customWidth="1"/>
    <col min="20" max="20" width="5" bestFit="1" customWidth="1"/>
    <col min="21" max="21" width="4" bestFit="1" customWidth="1"/>
    <col min="22" max="22" width="5" bestFit="1" customWidth="1"/>
    <col min="23" max="23" width="2.42578125" bestFit="1" customWidth="1"/>
    <col min="31" max="31" width="10" bestFit="1" customWidth="1"/>
  </cols>
  <sheetData>
    <row r="1" spans="1:18" x14ac:dyDescent="0.25">
      <c r="M1" t="s">
        <v>330</v>
      </c>
      <c r="N1" s="30" t="s">
        <v>62</v>
      </c>
      <c r="O1" s="30" t="s">
        <v>69</v>
      </c>
      <c r="P1" s="30" t="s">
        <v>330</v>
      </c>
      <c r="Q1" s="30" t="s">
        <v>331</v>
      </c>
      <c r="R1" s="30" t="s">
        <v>332</v>
      </c>
    </row>
    <row r="2" spans="1:18" ht="15.75" x14ac:dyDescent="0.25">
      <c r="A2" t="s">
        <v>297</v>
      </c>
      <c r="B2" s="19" t="s">
        <v>86</v>
      </c>
      <c r="C2" s="19" t="s">
        <v>53</v>
      </c>
      <c r="D2" s="19" t="s">
        <v>85</v>
      </c>
      <c r="E2" s="19" t="s">
        <v>69</v>
      </c>
      <c r="F2" s="19" t="s">
        <v>42</v>
      </c>
      <c r="G2" s="19" t="s">
        <v>298</v>
      </c>
      <c r="H2" s="19" t="s">
        <v>298</v>
      </c>
      <c r="I2" s="20" t="s">
        <v>293</v>
      </c>
      <c r="J2" s="21" t="s">
        <v>299</v>
      </c>
      <c r="K2" s="22" t="s">
        <v>300</v>
      </c>
      <c r="M2" t="str">
        <f>'STEP 2 Detailed analysis'!D26&amp;'STEP 2 Detailed analysis'!D27</f>
        <v>R55A0.7</v>
      </c>
      <c r="N2" s="28" t="s">
        <v>292</v>
      </c>
      <c r="O2">
        <v>0.3125</v>
      </c>
      <c r="P2" t="str">
        <f>N2&amp;O2</f>
        <v>End Spray0.3125</v>
      </c>
      <c r="Q2">
        <v>10</v>
      </c>
      <c r="R2">
        <v>25</v>
      </c>
    </row>
    <row r="3" spans="1:18" ht="15.75" x14ac:dyDescent="0.25">
      <c r="A3" t="s">
        <v>35</v>
      </c>
      <c r="B3" s="19" t="s">
        <v>12</v>
      </c>
      <c r="C3" s="21" t="s">
        <v>35</v>
      </c>
      <c r="D3" s="19" t="s">
        <v>12</v>
      </c>
      <c r="E3" s="19" t="s">
        <v>294</v>
      </c>
      <c r="F3" s="21"/>
      <c r="G3" s="19" t="s">
        <v>65</v>
      </c>
      <c r="H3" s="8" t="s">
        <v>301</v>
      </c>
      <c r="I3" s="19" t="s">
        <v>35</v>
      </c>
      <c r="J3" s="19" t="s">
        <v>5</v>
      </c>
      <c r="K3" s="19" t="s">
        <v>41</v>
      </c>
      <c r="N3" s="28" t="s">
        <v>292</v>
      </c>
      <c r="O3">
        <v>0.40625</v>
      </c>
      <c r="P3" t="str">
        <f t="shared" ref="P3:P66" si="0">N3&amp;O3</f>
        <v>End Spray0.40625</v>
      </c>
      <c r="Q3">
        <v>10</v>
      </c>
      <c r="R3">
        <v>25</v>
      </c>
    </row>
    <row r="4" spans="1:18" ht="15.75" x14ac:dyDescent="0.25">
      <c r="A4">
        <f>'STEP 2 Detailed analysis'!D25</f>
        <v>384</v>
      </c>
      <c r="B4" s="19">
        <f>VLOOKUP('STEP 2 Detailed analysis'!AT25,'STEP 2 Detailed analysis'!AZ$27:BA$30,2,FALSE)*'STEP 2 Detailed analysis'!AS25/'STEP 2 Detailed analysis'!BA27</f>
        <v>40</v>
      </c>
      <c r="C4" s="21">
        <f>'STEP 2 Detailed analysis'!AP13</f>
        <v>10.548744223530749</v>
      </c>
      <c r="D4" s="19">
        <f>IF('STEP 2 Detailed analysis'!E26="no booster", C4/VLOOKUP(D3,'STEP 2 Detailed analysis'!AZ27:BA30,2,FALSE),C4/VLOOKUP(D3,'STEP 2 Detailed analysis'!AZ27:BA30,2,FALSE)+B4)</f>
        <v>14.999999999999998</v>
      </c>
      <c r="E4" s="27">
        <f>'STEP 2 Detailed analysis'!D27</f>
        <v>0.7</v>
      </c>
      <c r="F4" t="s">
        <v>38</v>
      </c>
      <c r="G4">
        <f>VLOOKUP('STEP 2 Detailed analysis'!$D26,'Endgun models'!$F5:$K26,2,FALSE)</f>
        <v>0.30852210306611971</v>
      </c>
      <c r="H4">
        <f>VLOOKUP('STEP 2 Detailed analysis'!$D26,'Endgun models'!$F5:$K26,3,FALSE)</f>
        <v>3.5708576743763856</v>
      </c>
      <c r="I4">
        <f>VLOOKUP('STEP 2 Detailed analysis'!$D26,'Endgun models'!$F5:$K26,4,FALSE)</f>
        <v>12.2</v>
      </c>
      <c r="J4">
        <f>VLOOKUP('STEP 2 Detailed analysis'!$D26,'Endgun models'!$F5:$K26,5,FALSE)</f>
        <v>2.9903061177635237</v>
      </c>
      <c r="K4">
        <f>VLOOKUP('STEP 2 Detailed analysis'!$D26,'Endgun models'!$F5:$K26,6,FALSE)</f>
        <v>10.317408683792753</v>
      </c>
      <c r="M4" t="s">
        <v>333</v>
      </c>
      <c r="N4" s="28" t="s">
        <v>292</v>
      </c>
      <c r="O4">
        <v>0.5</v>
      </c>
      <c r="P4" t="str">
        <f t="shared" si="0"/>
        <v>End Spray0.5</v>
      </c>
      <c r="Q4">
        <v>10</v>
      </c>
      <c r="R4">
        <v>25</v>
      </c>
    </row>
    <row r="5" spans="1:18" ht="15.75" x14ac:dyDescent="0.25">
      <c r="B5" s="21"/>
      <c r="C5" s="21"/>
      <c r="D5" s="21"/>
      <c r="E5" s="21"/>
      <c r="F5" s="21" t="s">
        <v>295</v>
      </c>
      <c r="G5" s="26">
        <v>0</v>
      </c>
      <c r="H5" s="5">
        <f t="shared" ref="H5:H16" si="1">G5/0.0864</f>
        <v>0</v>
      </c>
      <c r="I5">
        <v>0</v>
      </c>
      <c r="J5" s="5">
        <f t="shared" ref="J5:J16" si="2">(PI()*(A$4+I5)^2)/10000-((PI()*(A$4)^2)/10000)</f>
        <v>0</v>
      </c>
      <c r="K5" s="5">
        <v>0</v>
      </c>
      <c r="M5">
        <f>VLOOKUP(M2,P2:R192,2)</f>
        <v>15</v>
      </c>
      <c r="N5" s="28" t="s">
        <v>292</v>
      </c>
      <c r="O5">
        <v>0.59375</v>
      </c>
      <c r="P5" t="str">
        <f t="shared" si="0"/>
        <v>End Spray0.59375</v>
      </c>
      <c r="Q5">
        <v>10</v>
      </c>
      <c r="R5">
        <v>25</v>
      </c>
    </row>
    <row r="6" spans="1:18" ht="15.75" x14ac:dyDescent="0.25">
      <c r="C6" s="21"/>
      <c r="D6" s="21"/>
      <c r="E6" s="21"/>
      <c r="F6" s="21" t="s">
        <v>77</v>
      </c>
      <c r="G6" s="5">
        <f>(((E$4*25.4)^2)*(PI()*SQRT(2)/4000)*SQRT(D$4*6.8947572931783))/11.5741</f>
        <v>0.30852210306611971</v>
      </c>
      <c r="H6" s="5">
        <f t="shared" si="1"/>
        <v>3.5708576743763856</v>
      </c>
      <c r="I6">
        <f>15*(E4^2)-19.5*E4+(-0.006*(D4^2)+0.39*D4)+14</f>
        <v>12.2</v>
      </c>
      <c r="J6" s="5">
        <f t="shared" si="2"/>
        <v>2.9903061177635237</v>
      </c>
      <c r="K6" s="5">
        <f>G6/J6*100</f>
        <v>10.317408683792753</v>
      </c>
      <c r="N6" s="28" t="s">
        <v>77</v>
      </c>
      <c r="O6">
        <v>0.46875</v>
      </c>
      <c r="P6" t="str">
        <f t="shared" si="0"/>
        <v>R55A0.46875</v>
      </c>
      <c r="Q6">
        <v>15</v>
      </c>
      <c r="R6">
        <v>30</v>
      </c>
    </row>
    <row r="7" spans="1:18" ht="15.75" x14ac:dyDescent="0.25">
      <c r="B7" s="21"/>
      <c r="C7" s="21"/>
      <c r="D7" s="21"/>
      <c r="E7" s="21"/>
      <c r="F7" s="21" t="s">
        <v>82</v>
      </c>
      <c r="G7" s="5">
        <f t="shared" ref="G7:G16" si="3">(((E$4*25.4)^2)*(PI()*SQRT(2)/4000)*SQRT(D$4*6.8947572931783))/11.5741</f>
        <v>0.30852210306611971</v>
      </c>
      <c r="H7" s="5">
        <f t="shared" si="1"/>
        <v>3.5708576743763856</v>
      </c>
      <c r="I7">
        <f>(-0.0025*(D4^2) + 0.4849*D4 + 10.936)*E4+(0.001*(D4^2) - 0.0449*D4 + 16.85)</f>
        <v>28.7544</v>
      </c>
      <c r="J7" s="5">
        <f t="shared" si="2"/>
        <v>7.197449942265294</v>
      </c>
      <c r="K7" s="5">
        <f>G7/J7*100</f>
        <v>4.2865473958269282</v>
      </c>
      <c r="M7" t="s">
        <v>334</v>
      </c>
      <c r="N7" s="28" t="s">
        <v>77</v>
      </c>
      <c r="O7">
        <v>0.546875</v>
      </c>
      <c r="P7" t="str">
        <f t="shared" si="0"/>
        <v>R55A0.546875</v>
      </c>
      <c r="Q7">
        <v>15</v>
      </c>
      <c r="R7">
        <v>30</v>
      </c>
    </row>
    <row r="8" spans="1:18" ht="15.75" x14ac:dyDescent="0.25">
      <c r="B8" s="21"/>
      <c r="C8" s="21"/>
      <c r="E8" s="21"/>
      <c r="F8" s="21" t="s">
        <v>81</v>
      </c>
      <c r="G8" s="5">
        <f>(((E$4*25.4)^2)*(PI()*SQRT(2)/4000)*SQRT(D$4*6.8947572931783))/11.5741</f>
        <v>0.30852210306611971</v>
      </c>
      <c r="H8" s="5">
        <f t="shared" si="1"/>
        <v>3.5708576743763856</v>
      </c>
      <c r="I8">
        <f>(-0.002*(D4^2)+0.5144*D4+8.0566)*E4+(-0.0006*(D4^2) + 0.1088*D4 + 9.6999)</f>
        <v>21.922719999999998</v>
      </c>
      <c r="J8" s="5">
        <f t="shared" si="2"/>
        <v>5.4403759870026533</v>
      </c>
      <c r="K8" s="5">
        <f t="shared" ref="K8:K16" si="4">G8/J8*100</f>
        <v>5.6709702381452196</v>
      </c>
      <c r="M8">
        <f>VLOOKUP(M2,P2:R192,3)</f>
        <v>30</v>
      </c>
      <c r="N8" s="28" t="s">
        <v>77</v>
      </c>
      <c r="O8">
        <v>0.625</v>
      </c>
      <c r="P8" t="str">
        <f t="shared" si="0"/>
        <v>R55A0.625</v>
      </c>
      <c r="Q8">
        <v>15</v>
      </c>
      <c r="R8">
        <v>30</v>
      </c>
    </row>
    <row r="9" spans="1:18" ht="15.75" x14ac:dyDescent="0.25">
      <c r="B9" s="21">
        <v>10</v>
      </c>
      <c r="C9" s="21">
        <v>11</v>
      </c>
      <c r="E9" s="21"/>
      <c r="F9" s="21" t="s">
        <v>76</v>
      </c>
      <c r="G9" s="5">
        <f t="shared" si="3"/>
        <v>0.30852210306611971</v>
      </c>
      <c r="H9" s="5">
        <f t="shared" si="1"/>
        <v>3.5708576743763856</v>
      </c>
      <c r="I9">
        <f>(-0.0013*(D4^2) + 0.247*D4 + 13.122)*E4+(0.1124*D4 + 5.763)</f>
        <v>19.023150000000001</v>
      </c>
      <c r="J9" s="5">
        <f t="shared" si="2"/>
        <v>4.7034855295942393</v>
      </c>
      <c r="K9" s="5">
        <f t="shared" si="4"/>
        <v>6.5594355744246409</v>
      </c>
      <c r="N9" s="29" t="s">
        <v>77</v>
      </c>
      <c r="O9">
        <v>0.703125</v>
      </c>
      <c r="P9" t="str">
        <f t="shared" si="0"/>
        <v>R55A0.703125</v>
      </c>
      <c r="Q9">
        <v>15</v>
      </c>
      <c r="R9">
        <v>30</v>
      </c>
    </row>
    <row r="10" spans="1:18" ht="15.75" x14ac:dyDescent="0.25">
      <c r="B10" s="21">
        <v>20</v>
      </c>
      <c r="C10" s="21">
        <v>13.1</v>
      </c>
      <c r="E10" s="21"/>
      <c r="F10" s="21" t="s">
        <v>312</v>
      </c>
      <c r="G10" s="5">
        <f t="shared" si="3"/>
        <v>0.30852210306611971</v>
      </c>
      <c r="H10" s="5">
        <f t="shared" si="1"/>
        <v>3.5708576743763856</v>
      </c>
      <c r="I10">
        <f>(0.0356*(D4^2) - 3.4172*D4 + 112.75)*E4+(-0.0154*(D4^2) + 1.6354*D4 - 31.176)</f>
        <v>38.541399999999996</v>
      </c>
      <c r="J10" s="5">
        <f t="shared" si="2"/>
        <v>9.7657145012491213</v>
      </c>
      <c r="K10" s="5">
        <f t="shared" si="4"/>
        <v>3.1592373812142167</v>
      </c>
      <c r="M10" s="21" t="s">
        <v>437</v>
      </c>
      <c r="N10" s="28" t="s">
        <v>291</v>
      </c>
      <c r="O10">
        <v>0.40625</v>
      </c>
      <c r="P10" t="str">
        <f t="shared" si="0"/>
        <v>R55i VT0.40625</v>
      </c>
      <c r="Q10">
        <v>15</v>
      </c>
      <c r="R10">
        <v>60</v>
      </c>
    </row>
    <row r="11" spans="1:18" ht="15.75" x14ac:dyDescent="0.25">
      <c r="B11" s="21">
        <v>30</v>
      </c>
      <c r="C11" s="21">
        <v>14</v>
      </c>
      <c r="E11" s="21"/>
      <c r="F11" s="21" t="s">
        <v>314</v>
      </c>
      <c r="G11" s="5">
        <f t="shared" si="3"/>
        <v>0.30852210306611971</v>
      </c>
      <c r="H11" s="5">
        <f t="shared" si="1"/>
        <v>3.5708576743763856</v>
      </c>
      <c r="I11">
        <f>(0.00000306449*(D4^4) - 0.000971094*(D4^3) + 0.110914*(D4^2) - 5.30613*D4 + 121.015)*E4+(0.0000939471*(D4^3) - 0.0202484*(D4^2) + 1.53286*(D4) - 26.0225)</f>
        <v>37.011059751875003</v>
      </c>
      <c r="J11" s="5">
        <f t="shared" si="2"/>
        <v>9.3601593059518535</v>
      </c>
      <c r="K11" s="5">
        <f t="shared" si="4"/>
        <v>3.2961202152824414</v>
      </c>
      <c r="M11" t="b">
        <f>AND(NOT(D4&gt;M8),NOT(D4&lt;M5))</f>
        <v>1</v>
      </c>
      <c r="N11" s="28" t="s">
        <v>291</v>
      </c>
      <c r="O11">
        <v>0.4375</v>
      </c>
      <c r="P11" t="str">
        <f t="shared" si="0"/>
        <v>R55i VT0.4375</v>
      </c>
      <c r="Q11">
        <v>15</v>
      </c>
      <c r="R11">
        <v>60</v>
      </c>
    </row>
    <row r="12" spans="1:18" ht="15.75" x14ac:dyDescent="0.25">
      <c r="B12" s="21">
        <v>40</v>
      </c>
      <c r="C12" s="21">
        <v>13.7</v>
      </c>
      <c r="E12" s="21"/>
      <c r="F12" s="21" t="s">
        <v>79</v>
      </c>
      <c r="G12" s="5">
        <f t="shared" si="3"/>
        <v>0.30852210306611971</v>
      </c>
      <c r="H12" s="5">
        <f t="shared" si="1"/>
        <v>3.5708576743763856</v>
      </c>
      <c r="I12">
        <f>(-0.133*(D4^2) + 11.088*D4 - 356.56)*(E4^2) + (0.1322*(D4^2) - 11.078*D4 + 369.27)*E4 + (-0.0332*(D4^2) + 2.8615*D4 - 79.243)</f>
        <v>11.320150000000005</v>
      </c>
      <c r="J12" s="5">
        <f t="shared" si="2"/>
        <v>2.77151963509192</v>
      </c>
      <c r="K12" s="5">
        <f t="shared" si="4"/>
        <v>11.131875060877471</v>
      </c>
      <c r="N12" s="28" t="s">
        <v>291</v>
      </c>
      <c r="O12">
        <v>0.46875</v>
      </c>
      <c r="P12" t="str">
        <f t="shared" si="0"/>
        <v>R55i VT0.46875</v>
      </c>
      <c r="Q12">
        <v>15</v>
      </c>
      <c r="R12">
        <v>60</v>
      </c>
    </row>
    <row r="13" spans="1:18" ht="15.75" x14ac:dyDescent="0.25">
      <c r="B13" s="21">
        <v>50</v>
      </c>
      <c r="C13" s="21">
        <v>12.2</v>
      </c>
      <c r="E13" s="21"/>
      <c r="F13" s="21" t="s">
        <v>78</v>
      </c>
      <c r="G13" s="5">
        <f t="shared" si="3"/>
        <v>0.30852210306611971</v>
      </c>
      <c r="H13" s="5">
        <f t="shared" si="1"/>
        <v>3.5708576743763856</v>
      </c>
      <c r="I13">
        <f>-38.4*(E4^2)+(0.0075*(D4^2) - 0.53463*D4 + 59.846)*E4 + (-0.007147*(D4^2) + 0.59144*D4 - 9.8809)</f>
        <v>16.02646</v>
      </c>
      <c r="J13" s="5">
        <f t="shared" si="2"/>
        <v>3.947464167944986</v>
      </c>
      <c r="K13" s="5">
        <f t="shared" si="4"/>
        <v>7.8157037009086645</v>
      </c>
      <c r="N13" s="28" t="s">
        <v>291</v>
      </c>
      <c r="O13">
        <v>0.5078125</v>
      </c>
      <c r="P13" t="str">
        <f t="shared" si="0"/>
        <v>R55i VT0.5078125</v>
      </c>
      <c r="Q13">
        <v>15</v>
      </c>
      <c r="R13">
        <v>60</v>
      </c>
    </row>
    <row r="14" spans="1:18" ht="15.75" x14ac:dyDescent="0.25">
      <c r="B14" s="21"/>
      <c r="C14" s="21"/>
      <c r="E14" s="21"/>
      <c r="F14" s="21" t="s">
        <v>80</v>
      </c>
      <c r="G14" s="5">
        <f t="shared" si="3"/>
        <v>0.30852210306611971</v>
      </c>
      <c r="H14" s="5">
        <f t="shared" si="1"/>
        <v>3.5708576743763856</v>
      </c>
      <c r="I14">
        <f>(0.01841*(D4^2) - 1.8944*D4 + 29.244)*(E4^2)+(-0.0070095*(D4^2) + 1.0694*D4 - 9.6824)*E4 + (0.0031098*(D4^2) - 0.38277*(D4) + 18.288)</f>
        <v>19.028601250000001</v>
      </c>
      <c r="J14" s="5">
        <f t="shared" si="2"/>
        <v>4.704865942141808</v>
      </c>
      <c r="K14" s="5">
        <f t="shared" si="4"/>
        <v>6.5575110292232983</v>
      </c>
      <c r="N14" s="28" t="s">
        <v>291</v>
      </c>
      <c r="O14">
        <v>0.546875</v>
      </c>
      <c r="P14" t="str">
        <f t="shared" si="0"/>
        <v>R55i VT0.546875</v>
      </c>
      <c r="Q14">
        <v>15</v>
      </c>
      <c r="R14">
        <v>60</v>
      </c>
    </row>
    <row r="15" spans="1:18" ht="15.75" x14ac:dyDescent="0.25">
      <c r="B15" s="21"/>
      <c r="C15" s="21"/>
      <c r="E15" s="21"/>
      <c r="F15" s="21" t="s">
        <v>291</v>
      </c>
      <c r="G15" s="5">
        <f t="shared" si="3"/>
        <v>0.30852210306611971</v>
      </c>
      <c r="H15" s="5">
        <f t="shared" si="1"/>
        <v>3.5708576743763856</v>
      </c>
      <c r="I15">
        <f>(-0.0014029*(E4^2) + 0.15702*D4 - 6.7456)*E4+(-0.0010732*(D4^2) + 0.12912*D4 + 11.976)</f>
        <v>10.597638805300001</v>
      </c>
      <c r="J15" s="5">
        <f t="shared" si="2"/>
        <v>2.5922212626326413</v>
      </c>
      <c r="K15" s="5">
        <f t="shared" si="4"/>
        <v>11.901842929595711</v>
      </c>
      <c r="N15" s="29" t="s">
        <v>291</v>
      </c>
      <c r="O15">
        <v>0.625</v>
      </c>
      <c r="P15" t="str">
        <f t="shared" si="0"/>
        <v>R55i VT0.625</v>
      </c>
      <c r="Q15">
        <v>15</v>
      </c>
      <c r="R15">
        <v>60</v>
      </c>
    </row>
    <row r="16" spans="1:18" ht="15.75" x14ac:dyDescent="0.25">
      <c r="F16" s="21" t="s">
        <v>292</v>
      </c>
      <c r="G16" s="5">
        <f t="shared" si="3"/>
        <v>0.30852210306611971</v>
      </c>
      <c r="H16" s="5">
        <f t="shared" si="1"/>
        <v>3.5708576743763856</v>
      </c>
      <c r="I16">
        <f>(-0.013*D4 + 7.7866)*E4 + (0.069896*D4 + 2.9526)</f>
        <v>9.3151599999999988</v>
      </c>
      <c r="J16" s="5">
        <f t="shared" si="2"/>
        <v>2.274769147963184</v>
      </c>
      <c r="K16" s="5">
        <f t="shared" si="4"/>
        <v>13.562787386243953</v>
      </c>
      <c r="N16" s="28" t="s">
        <v>80</v>
      </c>
      <c r="O16">
        <v>0.40625</v>
      </c>
      <c r="P16" t="str">
        <f t="shared" si="0"/>
        <v>R55VT0.40625</v>
      </c>
      <c r="Q16">
        <v>15</v>
      </c>
      <c r="R16">
        <v>60</v>
      </c>
    </row>
    <row r="17" spans="1:18" x14ac:dyDescent="0.25">
      <c r="F17" t="s">
        <v>304</v>
      </c>
      <c r="G17" s="5">
        <f t="shared" ref="G17:G26" si="5">(((E$4*25.4)^2)*(PI()*SQRT(2)/4000)*SQRT(D$4*6.8947572931783))/11.5741</f>
        <v>0.30852210306611971</v>
      </c>
      <c r="H17" s="5">
        <f t="shared" ref="H17:H26" si="6">G17/0.0864</f>
        <v>3.5708576743763856</v>
      </c>
      <c r="I17">
        <f>(0.11358*D4 + 25.718)*E4+ (0.13489*D4 + 8.8395)</f>
        <v>30.058039999999998</v>
      </c>
      <c r="J17" s="5">
        <f t="shared" ref="J17:J26" si="7">(PI()*(A$4+I17)^2)/10000-((PI()*(A$4)^2)/10000)</f>
        <v>7.5360714604984125</v>
      </c>
      <c r="K17" s="5">
        <f t="shared" ref="K17:K26" si="8">G17/J17*100</f>
        <v>4.0939381305404314</v>
      </c>
      <c r="N17" s="28" t="s">
        <v>80</v>
      </c>
      <c r="O17">
        <v>0.4375</v>
      </c>
      <c r="P17" t="str">
        <f t="shared" si="0"/>
        <v>R55VT0.4375</v>
      </c>
      <c r="Q17">
        <v>15</v>
      </c>
      <c r="R17">
        <v>60</v>
      </c>
    </row>
    <row r="18" spans="1:18" x14ac:dyDescent="0.25">
      <c r="F18" t="s">
        <v>305</v>
      </c>
      <c r="G18" s="5">
        <f t="shared" si="5"/>
        <v>0.30852210306611971</v>
      </c>
      <c r="H18" s="5">
        <f t="shared" si="6"/>
        <v>3.5708576743763856</v>
      </c>
      <c r="I18">
        <f>(0.090564*D4 + 23.02)*E4 + (0.099688*D4 + 14.958)</f>
        <v>33.518242000000001</v>
      </c>
      <c r="J18" s="5">
        <f t="shared" si="7"/>
        <v>8.4400402151689846</v>
      </c>
      <c r="K18" s="5">
        <f t="shared" si="8"/>
        <v>3.6554577371755159</v>
      </c>
      <c r="N18" s="28" t="s">
        <v>80</v>
      </c>
      <c r="O18">
        <v>0.46875</v>
      </c>
      <c r="P18" t="str">
        <f t="shared" si="0"/>
        <v>R55VT0.46875</v>
      </c>
      <c r="Q18">
        <v>15</v>
      </c>
      <c r="R18">
        <v>60</v>
      </c>
    </row>
    <row r="19" spans="1:18" x14ac:dyDescent="0.25">
      <c r="F19" t="s">
        <v>306</v>
      </c>
      <c r="G19" s="5">
        <f t="shared" si="5"/>
        <v>0.30852210306611971</v>
      </c>
      <c r="H19" s="5">
        <f t="shared" si="6"/>
        <v>3.5708576743763856</v>
      </c>
      <c r="I19">
        <f>(-0.00000089498*(D4^4) + 0.00033447*(D4^3) - 0.048912*(D4^2) + 3.421*D4 - 62.869)*E4 + (-0.000037947*(D4^3) + 0.010772*(D4^2) - 0.95489*D4 + 47.537)</f>
        <v>20.476308396249998</v>
      </c>
      <c r="J19" s="5">
        <f t="shared" si="7"/>
        <v>5.0721277455191114</v>
      </c>
      <c r="K19" s="5">
        <f t="shared" si="8"/>
        <v>6.0826958338870423</v>
      </c>
      <c r="N19" s="28" t="s">
        <v>80</v>
      </c>
      <c r="O19">
        <v>0.5078125</v>
      </c>
      <c r="P19" t="str">
        <f t="shared" si="0"/>
        <v>R55VT0.5078125</v>
      </c>
      <c r="Q19">
        <v>15</v>
      </c>
      <c r="R19">
        <v>60</v>
      </c>
    </row>
    <row r="20" spans="1:18" x14ac:dyDescent="0.25">
      <c r="F20" t="s">
        <v>307</v>
      </c>
      <c r="G20" s="5">
        <f t="shared" si="5"/>
        <v>0.30852210306611971</v>
      </c>
      <c r="H20" s="5">
        <f t="shared" si="6"/>
        <v>3.5708576743763856</v>
      </c>
      <c r="I20">
        <f>(0.089332*D4 + 25.286)*E4 + (0.15421*D4 + 9.1776)</f>
        <v>30.128936000000003</v>
      </c>
      <c r="J20" s="5">
        <f t="shared" si="7"/>
        <v>7.5545173669559276</v>
      </c>
      <c r="K20" s="5">
        <f t="shared" si="8"/>
        <v>4.0839419393702165</v>
      </c>
      <c r="N20" s="28" t="s">
        <v>80</v>
      </c>
      <c r="O20">
        <v>0.546875</v>
      </c>
      <c r="P20" t="str">
        <f t="shared" si="0"/>
        <v>R55VT0.546875</v>
      </c>
      <c r="Q20">
        <v>15</v>
      </c>
      <c r="R20">
        <v>60</v>
      </c>
    </row>
    <row r="21" spans="1:18" x14ac:dyDescent="0.25">
      <c r="F21" t="s">
        <v>308</v>
      </c>
      <c r="G21" s="5">
        <f t="shared" si="5"/>
        <v>0.30852210306611971</v>
      </c>
      <c r="H21" s="5">
        <f t="shared" si="6"/>
        <v>3.5708576743763856</v>
      </c>
      <c r="I21">
        <f>(0.000044866*(D4^3) - 0.015146*(D4^2) + 1.7579*D4 - 35.01)*E4 + (0.0021902*(D4^2) - 0.34495*D4 + 35.094)</f>
        <v>22.083995925000004</v>
      </c>
      <c r="J21" s="5">
        <f t="shared" si="7"/>
        <v>5.4815173840817835</v>
      </c>
      <c r="K21" s="5">
        <f t="shared" si="8"/>
        <v>5.6284069072199188</v>
      </c>
      <c r="N21" s="28" t="s">
        <v>80</v>
      </c>
      <c r="O21">
        <v>0.625</v>
      </c>
      <c r="P21" t="str">
        <f t="shared" si="0"/>
        <v>R55VT0.625</v>
      </c>
      <c r="Q21">
        <v>15</v>
      </c>
      <c r="R21">
        <v>60</v>
      </c>
    </row>
    <row r="22" spans="1:18" x14ac:dyDescent="0.25">
      <c r="F22" t="s">
        <v>309</v>
      </c>
      <c r="G22" s="5">
        <f t="shared" si="5"/>
        <v>0.30852210306611971</v>
      </c>
      <c r="H22" s="5">
        <f t="shared" si="6"/>
        <v>3.5708576743763856</v>
      </c>
      <c r="I22">
        <f>(0.000035254*(D4^3) - 0.012972*(D4^2) + 1.6281*D4 - 33.839)*E4 + (0.0015752*(D4^2) - 0.27765*D4 + 35.053)</f>
        <v>22.690617574999997</v>
      </c>
      <c r="J22" s="5">
        <f t="shared" si="7"/>
        <v>5.6364125659533215</v>
      </c>
      <c r="K22" s="5">
        <f t="shared" si="8"/>
        <v>5.4737317301743236</v>
      </c>
      <c r="N22" s="29" t="s">
        <v>80</v>
      </c>
      <c r="O22">
        <v>0.703125</v>
      </c>
      <c r="P22" t="str">
        <f t="shared" si="0"/>
        <v>R55VT0.703125</v>
      </c>
      <c r="Q22">
        <v>15</v>
      </c>
      <c r="R22">
        <v>60</v>
      </c>
    </row>
    <row r="23" spans="1:18" x14ac:dyDescent="0.25">
      <c r="F23" t="s">
        <v>310</v>
      </c>
      <c r="G23" s="5">
        <f t="shared" si="5"/>
        <v>0.30852210306611971</v>
      </c>
      <c r="H23" s="5">
        <f t="shared" si="6"/>
        <v>3.5708576743763856</v>
      </c>
      <c r="I23">
        <f>(0.000093007*(D4^3) - 0.021489*(D4^2) + 1.349*D4 - 32.054)*(E4^2) + (-0.00014182*(D4^3) + 0.029303*(D4^2) - 1.2596*D4 + 46.268)*E4 + (0.00010813*(D4^3) - 0.026462*(D4^2) + 1.9137*D4 - 29.07)</f>
        <v>9.4817995762499994</v>
      </c>
      <c r="J23" s="5">
        <f t="shared" si="7"/>
        <v>2.3159590442339208</v>
      </c>
      <c r="K23" s="5">
        <f t="shared" si="8"/>
        <v>13.321569905748204</v>
      </c>
      <c r="N23" s="28" t="s">
        <v>79</v>
      </c>
      <c r="O23">
        <v>0.40625</v>
      </c>
      <c r="P23" t="str">
        <f t="shared" si="0"/>
        <v>R750.40625</v>
      </c>
      <c r="Q23">
        <v>40</v>
      </c>
      <c r="R23">
        <v>60</v>
      </c>
    </row>
    <row r="24" spans="1:18" x14ac:dyDescent="0.25">
      <c r="F24" t="s">
        <v>311</v>
      </c>
      <c r="G24" s="5">
        <f t="shared" si="5"/>
        <v>0.30852210306611971</v>
      </c>
      <c r="H24" s="5">
        <f t="shared" si="6"/>
        <v>3.5708576743763856</v>
      </c>
      <c r="I24">
        <f>(0.0011223*(D4^2) - 0.071734*D4 - 7.9782)*(E4^2) + (0.000045431*(D4^3) - 0.018338*(D4^2) + 2.0332*D4 - 21.777)*E4 + (0.0033258*(D4^2) - 0.4207*D4 + 27.021)</f>
        <v>20.469771412499998</v>
      </c>
      <c r="J24" s="5">
        <f t="shared" si="7"/>
        <v>5.0704664501563599</v>
      </c>
      <c r="K24" s="5">
        <f t="shared" si="8"/>
        <v>6.0846887776292391</v>
      </c>
      <c r="N24" s="28" t="s">
        <v>79</v>
      </c>
      <c r="O24">
        <v>0.4375</v>
      </c>
      <c r="P24" t="str">
        <f t="shared" si="0"/>
        <v>R750.4375</v>
      </c>
      <c r="Q24">
        <v>40</v>
      </c>
      <c r="R24">
        <v>60</v>
      </c>
    </row>
    <row r="25" spans="1:18" x14ac:dyDescent="0.25">
      <c r="F25" t="s">
        <v>313</v>
      </c>
      <c r="G25" s="5">
        <f t="shared" si="5"/>
        <v>0.30852210306611971</v>
      </c>
      <c r="H25" s="5">
        <f t="shared" si="6"/>
        <v>3.5708576743763856</v>
      </c>
      <c r="I25">
        <f>(0.035995*(D4^2) - 3.3552*D4 + 110.4)*E4 + ( -0.015554*(D4^2) + 1.612*D4 - 28.688)</f>
        <v>39.711962500000006</v>
      </c>
      <c r="J25" s="5">
        <f t="shared" si="7"/>
        <v>10.076918298126941</v>
      </c>
      <c r="K25" s="5">
        <f t="shared" si="8"/>
        <v>3.0616711770250893</v>
      </c>
      <c r="N25" s="28" t="s">
        <v>79</v>
      </c>
      <c r="O25">
        <v>0.46875</v>
      </c>
      <c r="P25" t="str">
        <f t="shared" si="0"/>
        <v>R750.46875</v>
      </c>
      <c r="Q25">
        <v>40</v>
      </c>
      <c r="R25">
        <v>60</v>
      </c>
    </row>
    <row r="26" spans="1:18" x14ac:dyDescent="0.25">
      <c r="F26" t="s">
        <v>315</v>
      </c>
      <c r="G26" s="5">
        <f t="shared" si="5"/>
        <v>0.30852210306611971</v>
      </c>
      <c r="H26" s="5">
        <f t="shared" si="6"/>
        <v>3.5708576743763856</v>
      </c>
      <c r="I26">
        <f>(0.10109*D4 + 28.303)*E4 + (0.13564*D4 + 5.5802)</f>
        <v>28.488344999999999</v>
      </c>
      <c r="J26" s="5">
        <f t="shared" si="7"/>
        <v>7.1284731469941036</v>
      </c>
      <c r="K26" s="5">
        <f t="shared" si="8"/>
        <v>4.3280250441318655</v>
      </c>
      <c r="N26" s="28" t="s">
        <v>79</v>
      </c>
      <c r="O26">
        <v>0.5</v>
      </c>
      <c r="P26" t="str">
        <f t="shared" si="0"/>
        <v>R750.5</v>
      </c>
      <c r="Q26">
        <v>40</v>
      </c>
      <c r="R26">
        <v>60</v>
      </c>
    </row>
    <row r="27" spans="1:18" ht="15.75" x14ac:dyDescent="0.25">
      <c r="F27" s="21"/>
      <c r="G27" s="5"/>
      <c r="H27" s="5"/>
      <c r="I27" s="26"/>
      <c r="J27" s="5"/>
      <c r="K27" s="5"/>
      <c r="N27" s="28" t="s">
        <v>79</v>
      </c>
      <c r="O27">
        <v>0.53125</v>
      </c>
      <c r="P27" t="str">
        <f t="shared" si="0"/>
        <v>R750.53125</v>
      </c>
      <c r="Q27">
        <v>40</v>
      </c>
      <c r="R27">
        <v>60</v>
      </c>
    </row>
    <row r="28" spans="1:18" ht="15.75" x14ac:dyDescent="0.25">
      <c r="F28" s="21"/>
      <c r="G28" s="5"/>
      <c r="H28" s="5"/>
      <c r="I28" s="26"/>
      <c r="J28" s="5"/>
      <c r="K28" s="5"/>
      <c r="N28" s="29" t="s">
        <v>79</v>
      </c>
      <c r="O28">
        <v>0.5625</v>
      </c>
      <c r="P28" t="str">
        <f t="shared" si="0"/>
        <v>R750.5625</v>
      </c>
      <c r="Q28">
        <v>40</v>
      </c>
      <c r="R28">
        <v>60</v>
      </c>
    </row>
    <row r="29" spans="1:18" ht="15.75" x14ac:dyDescent="0.25">
      <c r="F29" s="21"/>
      <c r="G29" s="5"/>
      <c r="H29" s="5"/>
      <c r="I29" s="26"/>
      <c r="J29" s="5"/>
      <c r="K29" s="5"/>
      <c r="N29" s="28" t="s">
        <v>78</v>
      </c>
      <c r="O29">
        <v>0.40625</v>
      </c>
      <c r="P29" t="str">
        <f t="shared" si="0"/>
        <v>R75LP0.40625</v>
      </c>
      <c r="Q29">
        <v>25</v>
      </c>
      <c r="R29">
        <v>40</v>
      </c>
    </row>
    <row r="30" spans="1:18" ht="15.75" x14ac:dyDescent="0.25">
      <c r="F30" s="21"/>
      <c r="G30" s="5"/>
      <c r="H30" s="5"/>
      <c r="I30" s="26"/>
      <c r="J30" s="5"/>
      <c r="K30" s="5"/>
      <c r="N30" s="28" t="s">
        <v>78</v>
      </c>
      <c r="O30">
        <v>0.4375</v>
      </c>
      <c r="P30" t="str">
        <f t="shared" si="0"/>
        <v>R75LP0.4375</v>
      </c>
      <c r="Q30">
        <v>25</v>
      </c>
      <c r="R30">
        <v>40</v>
      </c>
    </row>
    <row r="31" spans="1:18" x14ac:dyDescent="0.25">
      <c r="N31" s="28" t="s">
        <v>78</v>
      </c>
      <c r="O31">
        <v>0.46875</v>
      </c>
      <c r="P31" t="str">
        <f t="shared" si="0"/>
        <v>R75LP0.46875</v>
      </c>
      <c r="Q31">
        <v>25</v>
      </c>
      <c r="R31">
        <v>40</v>
      </c>
    </row>
    <row r="32" spans="1:18" x14ac:dyDescent="0.25">
      <c r="A32" s="23" t="s">
        <v>86</v>
      </c>
      <c r="B32" s="24"/>
      <c r="C32" s="23" t="s">
        <v>85</v>
      </c>
      <c r="D32" s="23"/>
      <c r="E32" s="23"/>
      <c r="F32" s="23"/>
      <c r="G32" s="25"/>
      <c r="H32" s="24"/>
      <c r="N32" s="28" t="s">
        <v>78</v>
      </c>
      <c r="O32">
        <v>0.5</v>
      </c>
      <c r="P32" t="str">
        <f t="shared" si="0"/>
        <v>R75LP0.5</v>
      </c>
      <c r="Q32">
        <v>25</v>
      </c>
      <c r="R32">
        <v>40</v>
      </c>
    </row>
    <row r="33" spans="1:18" x14ac:dyDescent="0.25">
      <c r="A33" s="23" t="s">
        <v>12</v>
      </c>
      <c r="B33" s="24"/>
      <c r="C33" s="23" t="s">
        <v>12</v>
      </c>
      <c r="D33" s="24" t="s">
        <v>296</v>
      </c>
      <c r="E33" s="23" t="s">
        <v>83</v>
      </c>
      <c r="G33" s="23" t="s">
        <v>84</v>
      </c>
      <c r="I33" s="23" t="s">
        <v>72</v>
      </c>
      <c r="K33" s="23" t="s">
        <v>75</v>
      </c>
      <c r="N33" s="28" t="s">
        <v>78</v>
      </c>
      <c r="O33">
        <v>0.53125</v>
      </c>
      <c r="P33" t="str">
        <f t="shared" si="0"/>
        <v>R75LP0.53125</v>
      </c>
      <c r="Q33">
        <v>25</v>
      </c>
      <c r="R33">
        <v>40</v>
      </c>
    </row>
    <row r="34" spans="1:18" x14ac:dyDescent="0.25">
      <c r="A34" s="24">
        <v>27</v>
      </c>
      <c r="B34" s="24"/>
      <c r="C34" s="24" t="e">
        <f>MROUND(IF('STEP 2 Detailed analysis'!E26="no booster", 'STEP 2 Detailed analysis'!#REF!/VLOOKUP(C33,'STEP 2 Detailed analysis'!AZ27:BA30,2,FALSE),'STEP 2 Detailed analysis'!#REF!/VLOOKUP(C33,'STEP 2 Detailed analysis'!AZ27:BA30,2,FALSE)+A34),5)</f>
        <v>#REF!</v>
      </c>
      <c r="D34" s="24" t="str">
        <f>'STEP 2 Detailed analysis'!D26</f>
        <v>R55A</v>
      </c>
      <c r="E34" s="24" t="e">
        <f>'STEP 2 Detailed analysis'!D26&amp;'STEP 2 Detailed analysis'!D27&amp;MROUND(C34,5)</f>
        <v>#REF!</v>
      </c>
      <c r="G34" s="31" t="e">
        <f>IF('STEP 2 Detailed analysis'!D26="None", 0,VLOOKUP($E34,Endguns!B$2:J$1677,4,FALSE))</f>
        <v>#REF!</v>
      </c>
      <c r="I34" s="32" t="e">
        <f>IF('STEP 2 Detailed analysis'!D26="None", 0,VLOOKUP($E34,Endguns!B$2:I$1677,5,FALSE))</f>
        <v>#REF!</v>
      </c>
      <c r="K34" s="33" t="e">
        <f>IF('STEP 2 Detailed analysis'!D26="None", 0,VLOOKUP($E34,Endguns!B$2:K$1677,8,FALSE))</f>
        <v>#REF!</v>
      </c>
      <c r="N34" s="29" t="s">
        <v>78</v>
      </c>
      <c r="O34">
        <v>0.5625</v>
      </c>
      <c r="P34" t="str">
        <f t="shared" si="0"/>
        <v>R75LP0.5625</v>
      </c>
      <c r="Q34">
        <v>25</v>
      </c>
      <c r="R34">
        <v>40</v>
      </c>
    </row>
    <row r="35" spans="1:18" x14ac:dyDescent="0.25">
      <c r="I35" s="32">
        <f>I4</f>
        <v>12.2</v>
      </c>
      <c r="J35">
        <f>IF(I35=0,0,1)</f>
        <v>1</v>
      </c>
      <c r="L35" t="str">
        <f>ROUND(I35, 1) &amp; " m"</f>
        <v>12.2 m</v>
      </c>
      <c r="N35" s="28" t="s">
        <v>82</v>
      </c>
      <c r="O35">
        <v>0.5</v>
      </c>
      <c r="P35" t="str">
        <f t="shared" si="0"/>
        <v>SR1000.5</v>
      </c>
      <c r="Q35">
        <v>40</v>
      </c>
      <c r="R35">
        <v>110</v>
      </c>
    </row>
    <row r="36" spans="1:18" x14ac:dyDescent="0.25">
      <c r="I36">
        <f>I35/2</f>
        <v>6.1</v>
      </c>
      <c r="J36">
        <f>IF(I35=0,0,12)</f>
        <v>12</v>
      </c>
      <c r="N36" s="28" t="s">
        <v>82</v>
      </c>
      <c r="O36">
        <v>0.55000000000000004</v>
      </c>
      <c r="P36" t="str">
        <f t="shared" si="0"/>
        <v>SR1000.55</v>
      </c>
      <c r="Q36">
        <v>40</v>
      </c>
      <c r="R36">
        <v>110</v>
      </c>
    </row>
    <row r="37" spans="1:18" x14ac:dyDescent="0.25">
      <c r="I37">
        <v>0</v>
      </c>
      <c r="J37">
        <f>IF(I35=0,0,10)</f>
        <v>10</v>
      </c>
      <c r="N37" s="28" t="s">
        <v>82</v>
      </c>
      <c r="O37">
        <v>0.6</v>
      </c>
      <c r="P37" t="str">
        <f t="shared" si="0"/>
        <v>SR1000.6</v>
      </c>
      <c r="Q37">
        <v>40</v>
      </c>
      <c r="R37">
        <v>110</v>
      </c>
    </row>
    <row r="38" spans="1:18" x14ac:dyDescent="0.25">
      <c r="I38">
        <f>I$35/1.25</f>
        <v>9.76</v>
      </c>
      <c r="J38">
        <f>J35</f>
        <v>1</v>
      </c>
      <c r="N38" s="28" t="s">
        <v>82</v>
      </c>
      <c r="O38">
        <v>0.65</v>
      </c>
      <c r="P38" t="str">
        <f t="shared" si="0"/>
        <v>SR1000.65</v>
      </c>
      <c r="Q38">
        <v>40</v>
      </c>
      <c r="R38">
        <v>110</v>
      </c>
    </row>
    <row r="39" spans="1:18" x14ac:dyDescent="0.25">
      <c r="I39">
        <f>I38/2</f>
        <v>4.88</v>
      </c>
      <c r="J39">
        <f>J36-0.2</f>
        <v>11.8</v>
      </c>
      <c r="N39" s="28" t="s">
        <v>82</v>
      </c>
      <c r="O39">
        <v>0.7</v>
      </c>
      <c r="P39" t="str">
        <f t="shared" si="0"/>
        <v>SR1000.7</v>
      </c>
      <c r="Q39">
        <v>40</v>
      </c>
      <c r="R39">
        <v>110</v>
      </c>
    </row>
    <row r="40" spans="1:18" x14ac:dyDescent="0.25">
      <c r="I40">
        <v>0</v>
      </c>
      <c r="J40">
        <f>J37</f>
        <v>10</v>
      </c>
      <c r="N40" s="28" t="s">
        <v>82</v>
      </c>
      <c r="O40">
        <v>0.75</v>
      </c>
      <c r="P40" t="str">
        <f t="shared" si="0"/>
        <v>SR1000.75</v>
      </c>
      <c r="Q40">
        <v>40</v>
      </c>
      <c r="R40">
        <v>110</v>
      </c>
    </row>
    <row r="41" spans="1:18" x14ac:dyDescent="0.25">
      <c r="I41">
        <f>I$35/1.75</f>
        <v>6.9714285714285706</v>
      </c>
      <c r="J41">
        <f>J38</f>
        <v>1</v>
      </c>
      <c r="N41" s="28" t="s">
        <v>82</v>
      </c>
      <c r="O41">
        <v>0.8</v>
      </c>
      <c r="P41" t="str">
        <f t="shared" si="0"/>
        <v>SR1000.8</v>
      </c>
      <c r="Q41">
        <v>40</v>
      </c>
      <c r="R41">
        <v>110</v>
      </c>
    </row>
    <row r="42" spans="1:18" x14ac:dyDescent="0.25">
      <c r="I42">
        <f>I41/2</f>
        <v>3.4857142857142853</v>
      </c>
      <c r="J42">
        <f>J39-0.2</f>
        <v>11.600000000000001</v>
      </c>
      <c r="N42" s="28" t="s">
        <v>82</v>
      </c>
      <c r="O42">
        <v>0.85</v>
      </c>
      <c r="P42" t="str">
        <f t="shared" si="0"/>
        <v>SR1000.85</v>
      </c>
      <c r="Q42">
        <v>40</v>
      </c>
      <c r="R42">
        <v>110</v>
      </c>
    </row>
    <row r="43" spans="1:18" x14ac:dyDescent="0.25">
      <c r="I43">
        <v>0</v>
      </c>
      <c r="J43">
        <f>J40</f>
        <v>10</v>
      </c>
      <c r="N43" s="28" t="s">
        <v>82</v>
      </c>
      <c r="O43">
        <v>0.9</v>
      </c>
      <c r="P43" t="str">
        <f t="shared" si="0"/>
        <v>SR1000.9</v>
      </c>
      <c r="Q43">
        <v>40</v>
      </c>
      <c r="R43">
        <v>110</v>
      </c>
    </row>
    <row r="44" spans="1:18" x14ac:dyDescent="0.25">
      <c r="I44">
        <f>I$35/2.5</f>
        <v>4.88</v>
      </c>
      <c r="J44">
        <f>J41</f>
        <v>1</v>
      </c>
      <c r="N44" s="29" t="s">
        <v>82</v>
      </c>
      <c r="O44">
        <v>1</v>
      </c>
      <c r="P44" t="str">
        <f t="shared" si="0"/>
        <v>SR1001</v>
      </c>
      <c r="Q44">
        <v>40</v>
      </c>
      <c r="R44">
        <v>110</v>
      </c>
    </row>
    <row r="45" spans="1:18" x14ac:dyDescent="0.25">
      <c r="I45">
        <f>I44/2</f>
        <v>2.44</v>
      </c>
      <c r="J45">
        <f>J42-0.2</f>
        <v>11.400000000000002</v>
      </c>
      <c r="N45" s="28" t="s">
        <v>304</v>
      </c>
      <c r="O45">
        <v>0.47</v>
      </c>
      <c r="P45" t="str">
        <f t="shared" si="0"/>
        <v>SR101+0.47</v>
      </c>
      <c r="Q45">
        <v>30</v>
      </c>
      <c r="R45">
        <v>110</v>
      </c>
    </row>
    <row r="46" spans="1:18" x14ac:dyDescent="0.25">
      <c r="I46">
        <v>0</v>
      </c>
      <c r="J46">
        <f>J43</f>
        <v>10</v>
      </c>
      <c r="N46" s="28" t="s">
        <v>304</v>
      </c>
      <c r="O46">
        <v>0.55000000000000004</v>
      </c>
      <c r="P46" t="str">
        <f t="shared" si="0"/>
        <v>SR101+0.55</v>
      </c>
      <c r="Q46">
        <v>30</v>
      </c>
      <c r="R46">
        <v>110</v>
      </c>
    </row>
    <row r="47" spans="1:18" x14ac:dyDescent="0.25">
      <c r="I47">
        <f>I$35/4</f>
        <v>3.05</v>
      </c>
      <c r="J47">
        <f>J44</f>
        <v>1</v>
      </c>
      <c r="N47" s="28" t="s">
        <v>304</v>
      </c>
      <c r="O47">
        <v>0.63</v>
      </c>
      <c r="P47" t="str">
        <f t="shared" si="0"/>
        <v>SR101+0.63</v>
      </c>
      <c r="Q47">
        <v>30</v>
      </c>
      <c r="R47">
        <v>110</v>
      </c>
    </row>
    <row r="48" spans="1:18" x14ac:dyDescent="0.25">
      <c r="I48">
        <f>I47/2</f>
        <v>1.5249999999999999</v>
      </c>
      <c r="J48">
        <f>J45-0.2</f>
        <v>11.200000000000003</v>
      </c>
      <c r="N48" s="28" t="s">
        <v>304</v>
      </c>
      <c r="O48">
        <v>0.67</v>
      </c>
      <c r="P48" t="str">
        <f t="shared" si="0"/>
        <v>SR101+0.67</v>
      </c>
      <c r="Q48">
        <v>30</v>
      </c>
      <c r="R48">
        <v>110</v>
      </c>
    </row>
    <row r="49" spans="9:18" x14ac:dyDescent="0.25">
      <c r="I49">
        <v>0</v>
      </c>
      <c r="J49">
        <f>J46</f>
        <v>10</v>
      </c>
      <c r="N49" s="28" t="s">
        <v>304</v>
      </c>
      <c r="O49">
        <v>0.71</v>
      </c>
      <c r="P49" t="str">
        <f t="shared" si="0"/>
        <v>SR101+0.71</v>
      </c>
      <c r="Q49">
        <v>30</v>
      </c>
      <c r="R49">
        <v>110</v>
      </c>
    </row>
    <row r="50" spans="9:18" x14ac:dyDescent="0.25">
      <c r="I50">
        <f>I$35/6</f>
        <v>2.0333333333333332</v>
      </c>
      <c r="J50">
        <f>J47</f>
        <v>1</v>
      </c>
      <c r="N50" s="28" t="s">
        <v>304</v>
      </c>
      <c r="O50">
        <v>0.75</v>
      </c>
      <c r="P50" t="str">
        <f t="shared" si="0"/>
        <v>SR101+0.75</v>
      </c>
      <c r="Q50">
        <v>30</v>
      </c>
      <c r="R50">
        <v>110</v>
      </c>
    </row>
    <row r="51" spans="9:18" x14ac:dyDescent="0.25">
      <c r="I51">
        <f>I50/2</f>
        <v>1.0166666666666666</v>
      </c>
      <c r="J51">
        <f>J48-0.2</f>
        <v>11.000000000000004</v>
      </c>
      <c r="N51" s="28" t="s">
        <v>304</v>
      </c>
      <c r="O51">
        <v>0.79</v>
      </c>
      <c r="P51" t="str">
        <f t="shared" si="0"/>
        <v>SR101+0.79</v>
      </c>
      <c r="Q51">
        <v>30</v>
      </c>
      <c r="R51">
        <v>110</v>
      </c>
    </row>
    <row r="52" spans="9:18" x14ac:dyDescent="0.25">
      <c r="I52">
        <v>0</v>
      </c>
      <c r="J52">
        <f>J49</f>
        <v>10</v>
      </c>
      <c r="N52" s="28" t="s">
        <v>304</v>
      </c>
      <c r="O52">
        <v>0.83</v>
      </c>
      <c r="P52" t="str">
        <f t="shared" si="0"/>
        <v>SR101+0.83</v>
      </c>
      <c r="Q52">
        <v>30</v>
      </c>
      <c r="R52">
        <v>110</v>
      </c>
    </row>
    <row r="53" spans="9:18" x14ac:dyDescent="0.25">
      <c r="N53" s="28" t="s">
        <v>304</v>
      </c>
      <c r="O53">
        <v>0.87</v>
      </c>
      <c r="P53" t="str">
        <f t="shared" si="0"/>
        <v>SR101+0.87</v>
      </c>
      <c r="Q53">
        <v>30</v>
      </c>
      <c r="R53">
        <v>110</v>
      </c>
    </row>
    <row r="54" spans="9:18" x14ac:dyDescent="0.25">
      <c r="N54" s="28" t="s">
        <v>304</v>
      </c>
      <c r="O54">
        <v>0.91</v>
      </c>
      <c r="P54" t="str">
        <f t="shared" si="0"/>
        <v>SR101+0.91</v>
      </c>
      <c r="Q54">
        <v>30</v>
      </c>
      <c r="R54">
        <v>110</v>
      </c>
    </row>
    <row r="55" spans="9:18" x14ac:dyDescent="0.25">
      <c r="N55" s="29" t="s">
        <v>304</v>
      </c>
      <c r="O55">
        <v>0.94</v>
      </c>
      <c r="P55" t="str">
        <f t="shared" si="0"/>
        <v>SR101+0.94</v>
      </c>
      <c r="Q55">
        <v>30</v>
      </c>
      <c r="R55">
        <v>110</v>
      </c>
    </row>
    <row r="56" spans="9:18" x14ac:dyDescent="0.25">
      <c r="N56" s="28" t="s">
        <v>305</v>
      </c>
      <c r="O56">
        <v>0.7</v>
      </c>
      <c r="P56" t="str">
        <f t="shared" si="0"/>
        <v>SR1500.7</v>
      </c>
      <c r="Q56">
        <v>50</v>
      </c>
      <c r="R56">
        <v>120</v>
      </c>
    </row>
    <row r="57" spans="9:18" x14ac:dyDescent="0.25">
      <c r="N57" s="28" t="s">
        <v>305</v>
      </c>
      <c r="O57">
        <v>0.8</v>
      </c>
      <c r="P57" t="str">
        <f t="shared" si="0"/>
        <v>SR1500.8</v>
      </c>
      <c r="Q57">
        <v>50</v>
      </c>
      <c r="R57">
        <v>120</v>
      </c>
    </row>
    <row r="58" spans="9:18" x14ac:dyDescent="0.25">
      <c r="N58" s="28" t="s">
        <v>305</v>
      </c>
      <c r="O58">
        <v>0.9</v>
      </c>
      <c r="P58" t="str">
        <f t="shared" si="0"/>
        <v>SR1500.9</v>
      </c>
      <c r="Q58">
        <v>50</v>
      </c>
      <c r="R58">
        <v>120</v>
      </c>
    </row>
    <row r="59" spans="9:18" x14ac:dyDescent="0.25">
      <c r="N59" s="28" t="s">
        <v>305</v>
      </c>
      <c r="O59">
        <v>1</v>
      </c>
      <c r="P59" t="str">
        <f t="shared" si="0"/>
        <v>SR1501</v>
      </c>
      <c r="Q59">
        <v>50</v>
      </c>
      <c r="R59">
        <v>120</v>
      </c>
    </row>
    <row r="60" spans="9:18" x14ac:dyDescent="0.25">
      <c r="N60" s="28" t="s">
        <v>305</v>
      </c>
      <c r="O60">
        <v>1.1000000000000001</v>
      </c>
      <c r="P60" t="str">
        <f t="shared" si="0"/>
        <v>SR1501.1</v>
      </c>
      <c r="Q60">
        <v>50</v>
      </c>
      <c r="R60">
        <v>120</v>
      </c>
    </row>
    <row r="61" spans="9:18" x14ac:dyDescent="0.25">
      <c r="N61" s="28" t="s">
        <v>305</v>
      </c>
      <c r="O61">
        <v>1.2</v>
      </c>
      <c r="P61" t="str">
        <f t="shared" si="0"/>
        <v>SR1501.2</v>
      </c>
      <c r="Q61">
        <v>50</v>
      </c>
      <c r="R61">
        <v>120</v>
      </c>
    </row>
    <row r="62" spans="9:18" x14ac:dyDescent="0.25">
      <c r="N62" s="28" t="s">
        <v>305</v>
      </c>
      <c r="O62">
        <v>1.3</v>
      </c>
      <c r="P62" t="str">
        <f t="shared" si="0"/>
        <v>SR1501.3</v>
      </c>
      <c r="Q62">
        <v>50</v>
      </c>
      <c r="R62">
        <v>120</v>
      </c>
    </row>
    <row r="63" spans="9:18" x14ac:dyDescent="0.25">
      <c r="N63" s="29" t="s">
        <v>305</v>
      </c>
      <c r="O63">
        <v>1.4</v>
      </c>
      <c r="P63" t="str">
        <f t="shared" si="0"/>
        <v>SR1501.4</v>
      </c>
      <c r="Q63">
        <v>50</v>
      </c>
      <c r="R63">
        <v>120</v>
      </c>
    </row>
    <row r="64" spans="9:18" x14ac:dyDescent="0.25">
      <c r="N64" s="28" t="s">
        <v>81</v>
      </c>
      <c r="O64">
        <v>0.4</v>
      </c>
      <c r="P64" t="str">
        <f t="shared" si="0"/>
        <v>SR750.4</v>
      </c>
      <c r="Q64">
        <v>40</v>
      </c>
      <c r="R64">
        <v>80</v>
      </c>
    </row>
    <row r="65" spans="14:18" x14ac:dyDescent="0.25">
      <c r="N65" s="28" t="s">
        <v>81</v>
      </c>
      <c r="O65">
        <v>0.45</v>
      </c>
      <c r="P65" t="str">
        <f t="shared" si="0"/>
        <v>SR750.45</v>
      </c>
      <c r="Q65">
        <v>35</v>
      </c>
      <c r="R65">
        <v>80</v>
      </c>
    </row>
    <row r="66" spans="14:18" x14ac:dyDescent="0.25">
      <c r="N66" s="28" t="s">
        <v>81</v>
      </c>
      <c r="O66">
        <v>0.5</v>
      </c>
      <c r="P66" t="str">
        <f t="shared" si="0"/>
        <v>SR750.5</v>
      </c>
      <c r="Q66">
        <v>30</v>
      </c>
      <c r="R66">
        <v>80</v>
      </c>
    </row>
    <row r="67" spans="14:18" x14ac:dyDescent="0.25">
      <c r="N67" s="28" t="s">
        <v>81</v>
      </c>
      <c r="O67">
        <v>0.55000000000000004</v>
      </c>
      <c r="P67" t="str">
        <f t="shared" ref="P67:P130" si="9">N67&amp;O67</f>
        <v>SR750.55</v>
      </c>
      <c r="Q67">
        <v>25</v>
      </c>
      <c r="R67">
        <v>80</v>
      </c>
    </row>
    <row r="68" spans="14:18" x14ac:dyDescent="0.25">
      <c r="N68" s="28" t="s">
        <v>81</v>
      </c>
      <c r="O68">
        <v>0.6</v>
      </c>
      <c r="P68" t="str">
        <f t="shared" si="9"/>
        <v>SR750.6</v>
      </c>
      <c r="Q68">
        <v>25</v>
      </c>
      <c r="R68">
        <v>80</v>
      </c>
    </row>
    <row r="69" spans="14:18" x14ac:dyDescent="0.25">
      <c r="N69" s="28" t="s">
        <v>81</v>
      </c>
      <c r="O69">
        <v>0.65</v>
      </c>
      <c r="P69" t="str">
        <f t="shared" si="9"/>
        <v>SR750.65</v>
      </c>
      <c r="Q69">
        <v>25</v>
      </c>
      <c r="R69">
        <v>80</v>
      </c>
    </row>
    <row r="70" spans="14:18" x14ac:dyDescent="0.25">
      <c r="N70" s="28" t="s">
        <v>81</v>
      </c>
      <c r="O70">
        <v>0.7</v>
      </c>
      <c r="P70" t="str">
        <f t="shared" si="9"/>
        <v>SR750.7</v>
      </c>
      <c r="Q70">
        <v>25</v>
      </c>
      <c r="R70">
        <v>80</v>
      </c>
    </row>
    <row r="71" spans="14:18" x14ac:dyDescent="0.25">
      <c r="N71" s="28" t="s">
        <v>81</v>
      </c>
      <c r="O71">
        <v>0.75</v>
      </c>
      <c r="P71" t="str">
        <f t="shared" si="9"/>
        <v>SR750.75</v>
      </c>
      <c r="Q71">
        <v>25</v>
      </c>
      <c r="R71">
        <v>80</v>
      </c>
    </row>
    <row r="72" spans="14:18" x14ac:dyDescent="0.25">
      <c r="N72" s="29" t="s">
        <v>81</v>
      </c>
      <c r="O72">
        <v>0.8</v>
      </c>
      <c r="P72" t="str">
        <f t="shared" si="9"/>
        <v>SR750.8</v>
      </c>
      <c r="Q72">
        <v>25</v>
      </c>
      <c r="R72">
        <v>80</v>
      </c>
    </row>
    <row r="73" spans="14:18" x14ac:dyDescent="0.25">
      <c r="N73" s="28" t="s">
        <v>306</v>
      </c>
      <c r="O73">
        <v>0.47</v>
      </c>
      <c r="P73" t="str">
        <f t="shared" si="9"/>
        <v>Twin101Ultra0.47</v>
      </c>
      <c r="Q73">
        <v>30</v>
      </c>
      <c r="R73">
        <v>110</v>
      </c>
    </row>
    <row r="74" spans="14:18" x14ac:dyDescent="0.25">
      <c r="N74" s="28" t="s">
        <v>306</v>
      </c>
      <c r="O74">
        <v>0.55000000000000004</v>
      </c>
      <c r="P74" t="str">
        <f t="shared" si="9"/>
        <v>Twin101Ultra0.55</v>
      </c>
      <c r="Q74">
        <v>30</v>
      </c>
      <c r="R74">
        <v>110</v>
      </c>
    </row>
    <row r="75" spans="14:18" x14ac:dyDescent="0.25">
      <c r="N75" s="28" t="s">
        <v>306</v>
      </c>
      <c r="O75">
        <v>0.63</v>
      </c>
      <c r="P75" t="str">
        <f t="shared" si="9"/>
        <v>Twin101Ultra0.63</v>
      </c>
      <c r="Q75">
        <v>30</v>
      </c>
      <c r="R75">
        <v>110</v>
      </c>
    </row>
    <row r="76" spans="14:18" x14ac:dyDescent="0.25">
      <c r="N76" s="28" t="s">
        <v>306</v>
      </c>
      <c r="O76">
        <v>0.71</v>
      </c>
      <c r="P76" t="str">
        <f t="shared" si="9"/>
        <v>Twin101Ultra0.71</v>
      </c>
      <c r="Q76">
        <v>30</v>
      </c>
      <c r="R76">
        <v>110</v>
      </c>
    </row>
    <row r="77" spans="14:18" x14ac:dyDescent="0.25">
      <c r="N77" s="28" t="s">
        <v>306</v>
      </c>
      <c r="O77">
        <v>0.79</v>
      </c>
      <c r="P77" t="str">
        <f t="shared" si="9"/>
        <v>Twin101Ultra0.79</v>
      </c>
      <c r="Q77">
        <v>30</v>
      </c>
      <c r="R77">
        <v>110</v>
      </c>
    </row>
    <row r="78" spans="14:18" x14ac:dyDescent="0.25">
      <c r="N78" s="28" t="s">
        <v>306</v>
      </c>
      <c r="O78">
        <v>0.87</v>
      </c>
      <c r="P78" t="str">
        <f t="shared" si="9"/>
        <v>Twin101Ultra0.87</v>
      </c>
      <c r="Q78">
        <v>30</v>
      </c>
      <c r="R78">
        <v>110</v>
      </c>
    </row>
    <row r="79" spans="14:18" x14ac:dyDescent="0.25">
      <c r="N79" s="28" t="s">
        <v>306</v>
      </c>
      <c r="O79">
        <v>0.94</v>
      </c>
      <c r="P79" t="str">
        <f t="shared" si="9"/>
        <v>Twin101Ultra0.94</v>
      </c>
      <c r="Q79">
        <v>30</v>
      </c>
      <c r="R79">
        <v>110</v>
      </c>
    </row>
    <row r="80" spans="14:18" x14ac:dyDescent="0.25">
      <c r="N80" s="28" t="s">
        <v>306</v>
      </c>
      <c r="O80">
        <v>1.02</v>
      </c>
      <c r="P80" t="str">
        <f t="shared" si="9"/>
        <v>Twin101Ultra1.02</v>
      </c>
      <c r="Q80">
        <v>30</v>
      </c>
      <c r="R80">
        <v>110</v>
      </c>
    </row>
    <row r="81" spans="14:18" x14ac:dyDescent="0.25">
      <c r="N81" s="29" t="s">
        <v>306</v>
      </c>
      <c r="O81">
        <v>1.1000000000000001</v>
      </c>
      <c r="P81" t="str">
        <f t="shared" si="9"/>
        <v>Twin101Ultra1.1</v>
      </c>
      <c r="Q81">
        <v>30</v>
      </c>
      <c r="R81">
        <v>110</v>
      </c>
    </row>
    <row r="82" spans="14:18" x14ac:dyDescent="0.25">
      <c r="N82" s="28" t="s">
        <v>307</v>
      </c>
      <c r="O82">
        <v>0.63</v>
      </c>
      <c r="P82" t="str">
        <f t="shared" si="9"/>
        <v>Twin140+0.63</v>
      </c>
      <c r="Q82">
        <v>30</v>
      </c>
      <c r="R82">
        <v>110</v>
      </c>
    </row>
    <row r="83" spans="14:18" x14ac:dyDescent="0.25">
      <c r="N83" s="28" t="s">
        <v>307</v>
      </c>
      <c r="O83">
        <v>0.67</v>
      </c>
      <c r="P83" t="str">
        <f t="shared" si="9"/>
        <v>Twin140+0.67</v>
      </c>
      <c r="Q83">
        <v>30</v>
      </c>
      <c r="R83">
        <v>110</v>
      </c>
    </row>
    <row r="84" spans="14:18" x14ac:dyDescent="0.25">
      <c r="N84" s="28" t="s">
        <v>307</v>
      </c>
      <c r="O84">
        <v>0.71</v>
      </c>
      <c r="P84" t="str">
        <f t="shared" si="9"/>
        <v>Twin140+0.71</v>
      </c>
      <c r="Q84">
        <v>30</v>
      </c>
      <c r="R84">
        <v>110</v>
      </c>
    </row>
    <row r="85" spans="14:18" x14ac:dyDescent="0.25">
      <c r="N85" s="28" t="s">
        <v>307</v>
      </c>
      <c r="O85">
        <v>0.75</v>
      </c>
      <c r="P85" t="str">
        <f t="shared" si="9"/>
        <v>Twin140+0.75</v>
      </c>
      <c r="Q85">
        <v>30</v>
      </c>
      <c r="R85">
        <v>110</v>
      </c>
    </row>
    <row r="86" spans="14:18" x14ac:dyDescent="0.25">
      <c r="N86" s="28" t="s">
        <v>307</v>
      </c>
      <c r="O86">
        <v>0.79</v>
      </c>
      <c r="P86" t="str">
        <f t="shared" si="9"/>
        <v>Twin140+0.79</v>
      </c>
      <c r="Q86">
        <v>30</v>
      </c>
      <c r="R86">
        <v>110</v>
      </c>
    </row>
    <row r="87" spans="14:18" x14ac:dyDescent="0.25">
      <c r="N87" s="28" t="s">
        <v>307</v>
      </c>
      <c r="O87">
        <v>0.83</v>
      </c>
      <c r="P87" t="str">
        <f t="shared" si="9"/>
        <v>Twin140+0.83</v>
      </c>
      <c r="Q87">
        <v>30</v>
      </c>
      <c r="R87">
        <v>110</v>
      </c>
    </row>
    <row r="88" spans="14:18" x14ac:dyDescent="0.25">
      <c r="N88" s="28" t="s">
        <v>307</v>
      </c>
      <c r="O88">
        <v>0.87</v>
      </c>
      <c r="P88" t="str">
        <f t="shared" si="9"/>
        <v>Twin140+0.87</v>
      </c>
      <c r="Q88">
        <v>30</v>
      </c>
      <c r="R88">
        <v>110</v>
      </c>
    </row>
    <row r="89" spans="14:18" x14ac:dyDescent="0.25">
      <c r="N89" s="28" t="s">
        <v>307</v>
      </c>
      <c r="O89">
        <v>0.91</v>
      </c>
      <c r="P89" t="str">
        <f t="shared" si="9"/>
        <v>Twin140+0.91</v>
      </c>
      <c r="Q89">
        <v>30</v>
      </c>
      <c r="R89">
        <v>110</v>
      </c>
    </row>
    <row r="90" spans="14:18" x14ac:dyDescent="0.25">
      <c r="N90" s="28" t="s">
        <v>307</v>
      </c>
      <c r="O90">
        <v>0.94</v>
      </c>
      <c r="P90" t="str">
        <f t="shared" si="9"/>
        <v>Twin140+0.94</v>
      </c>
      <c r="Q90">
        <v>30</v>
      </c>
      <c r="R90">
        <v>110</v>
      </c>
    </row>
    <row r="91" spans="14:18" x14ac:dyDescent="0.25">
      <c r="N91" s="28" t="s">
        <v>307</v>
      </c>
      <c r="O91">
        <v>1.02</v>
      </c>
      <c r="P91" t="str">
        <f t="shared" si="9"/>
        <v>Twin140+1.02</v>
      </c>
      <c r="Q91">
        <v>30</v>
      </c>
      <c r="R91">
        <v>110</v>
      </c>
    </row>
    <row r="92" spans="14:18" x14ac:dyDescent="0.25">
      <c r="N92" s="28" t="s">
        <v>307</v>
      </c>
      <c r="O92">
        <v>1.1000000000000001</v>
      </c>
      <c r="P92" t="str">
        <f t="shared" si="9"/>
        <v>Twin140+1.1</v>
      </c>
      <c r="Q92">
        <v>30</v>
      </c>
      <c r="R92">
        <v>110</v>
      </c>
    </row>
    <row r="93" spans="14:18" x14ac:dyDescent="0.25">
      <c r="N93" s="29" t="s">
        <v>307</v>
      </c>
      <c r="O93">
        <v>1.18</v>
      </c>
      <c r="P93" t="str">
        <f t="shared" si="9"/>
        <v>Twin140+1.18</v>
      </c>
      <c r="Q93">
        <v>30</v>
      </c>
      <c r="R93">
        <v>110</v>
      </c>
    </row>
    <row r="94" spans="14:18" x14ac:dyDescent="0.25">
      <c r="N94" s="28" t="s">
        <v>308</v>
      </c>
      <c r="O94">
        <v>0.63</v>
      </c>
      <c r="P94" t="str">
        <f t="shared" si="9"/>
        <v>Twin140Ultra0.63</v>
      </c>
      <c r="Q94">
        <v>30</v>
      </c>
      <c r="R94">
        <v>110</v>
      </c>
    </row>
    <row r="95" spans="14:18" x14ac:dyDescent="0.25">
      <c r="N95" s="28" t="s">
        <v>308</v>
      </c>
      <c r="O95">
        <v>0.71</v>
      </c>
      <c r="P95" t="str">
        <f t="shared" si="9"/>
        <v>Twin140Ultra0.71</v>
      </c>
      <c r="Q95">
        <v>30</v>
      </c>
      <c r="R95">
        <v>110</v>
      </c>
    </row>
    <row r="96" spans="14:18" x14ac:dyDescent="0.25">
      <c r="N96" s="28" t="s">
        <v>308</v>
      </c>
      <c r="O96">
        <v>0.79</v>
      </c>
      <c r="P96" t="str">
        <f t="shared" si="9"/>
        <v>Twin140Ultra0.79</v>
      </c>
      <c r="Q96">
        <v>30</v>
      </c>
      <c r="R96">
        <v>110</v>
      </c>
    </row>
    <row r="97" spans="14:18" x14ac:dyDescent="0.25">
      <c r="N97" s="28" t="s">
        <v>308</v>
      </c>
      <c r="O97">
        <v>0.87</v>
      </c>
      <c r="P97" t="str">
        <f t="shared" si="9"/>
        <v>Twin140Ultra0.87</v>
      </c>
      <c r="Q97">
        <v>30</v>
      </c>
      <c r="R97">
        <v>110</v>
      </c>
    </row>
    <row r="98" spans="14:18" x14ac:dyDescent="0.25">
      <c r="N98" s="28" t="s">
        <v>308</v>
      </c>
      <c r="O98">
        <v>0.94</v>
      </c>
      <c r="P98" t="str">
        <f t="shared" si="9"/>
        <v>Twin140Ultra0.94</v>
      </c>
      <c r="Q98">
        <v>30</v>
      </c>
      <c r="R98">
        <v>110</v>
      </c>
    </row>
    <row r="99" spans="14:18" x14ac:dyDescent="0.25">
      <c r="N99" s="28" t="s">
        <v>308</v>
      </c>
      <c r="O99">
        <v>1.02</v>
      </c>
      <c r="P99" t="str">
        <f t="shared" si="9"/>
        <v>Twin140Ultra1.02</v>
      </c>
      <c r="Q99">
        <v>30</v>
      </c>
      <c r="R99">
        <v>110</v>
      </c>
    </row>
    <row r="100" spans="14:18" x14ac:dyDescent="0.25">
      <c r="N100" s="28" t="s">
        <v>308</v>
      </c>
      <c r="O100">
        <v>1.1000000000000001</v>
      </c>
      <c r="P100" t="str">
        <f t="shared" si="9"/>
        <v>Twin140Ultra1.1</v>
      </c>
      <c r="Q100">
        <v>30</v>
      </c>
      <c r="R100">
        <v>110</v>
      </c>
    </row>
    <row r="101" spans="14:18" x14ac:dyDescent="0.25">
      <c r="N101" s="28" t="s">
        <v>308</v>
      </c>
      <c r="O101">
        <v>1.18</v>
      </c>
      <c r="P101" t="str">
        <f t="shared" si="9"/>
        <v>Twin140Ultra1.18</v>
      </c>
      <c r="Q101">
        <v>30</v>
      </c>
      <c r="R101">
        <v>110</v>
      </c>
    </row>
    <row r="102" spans="14:18" x14ac:dyDescent="0.25">
      <c r="N102" s="28" t="s">
        <v>308</v>
      </c>
      <c r="O102">
        <v>1.26</v>
      </c>
      <c r="P102" t="str">
        <f t="shared" si="9"/>
        <v>Twin140Ultra1.26</v>
      </c>
      <c r="Q102">
        <v>30</v>
      </c>
      <c r="R102">
        <v>110</v>
      </c>
    </row>
    <row r="103" spans="14:18" x14ac:dyDescent="0.25">
      <c r="N103" s="29" t="s">
        <v>308</v>
      </c>
      <c r="O103">
        <v>1.34</v>
      </c>
      <c r="P103" t="str">
        <f t="shared" si="9"/>
        <v>Twin140Ultra1.34</v>
      </c>
      <c r="Q103">
        <v>30</v>
      </c>
      <c r="R103">
        <v>110</v>
      </c>
    </row>
    <row r="104" spans="14:18" x14ac:dyDescent="0.25">
      <c r="N104" s="28" t="s">
        <v>309</v>
      </c>
      <c r="O104">
        <v>0.71</v>
      </c>
      <c r="P104" t="str">
        <f t="shared" si="9"/>
        <v>Twin1600.71</v>
      </c>
      <c r="Q104">
        <v>40</v>
      </c>
      <c r="R104">
        <v>120</v>
      </c>
    </row>
    <row r="105" spans="14:18" x14ac:dyDescent="0.25">
      <c r="N105" s="28" t="s">
        <v>309</v>
      </c>
      <c r="O105">
        <v>0.79</v>
      </c>
      <c r="P105" t="str">
        <f t="shared" si="9"/>
        <v>Twin1600.79</v>
      </c>
      <c r="Q105">
        <v>40</v>
      </c>
      <c r="R105">
        <v>120</v>
      </c>
    </row>
    <row r="106" spans="14:18" x14ac:dyDescent="0.25">
      <c r="N106" s="28" t="s">
        <v>309</v>
      </c>
      <c r="O106">
        <v>0.87</v>
      </c>
      <c r="P106" t="str">
        <f t="shared" si="9"/>
        <v>Twin1600.87</v>
      </c>
      <c r="Q106">
        <v>40</v>
      </c>
      <c r="R106">
        <v>120</v>
      </c>
    </row>
    <row r="107" spans="14:18" x14ac:dyDescent="0.25">
      <c r="N107" s="28" t="s">
        <v>309</v>
      </c>
      <c r="O107">
        <v>0.94</v>
      </c>
      <c r="P107" t="str">
        <f t="shared" si="9"/>
        <v>Twin1600.94</v>
      </c>
      <c r="Q107">
        <v>40</v>
      </c>
      <c r="R107">
        <v>120</v>
      </c>
    </row>
    <row r="108" spans="14:18" x14ac:dyDescent="0.25">
      <c r="N108" s="28" t="s">
        <v>309</v>
      </c>
      <c r="O108">
        <v>1.02</v>
      </c>
      <c r="P108" t="str">
        <f t="shared" si="9"/>
        <v>Twin1601.02</v>
      </c>
      <c r="Q108">
        <v>40</v>
      </c>
      <c r="R108">
        <v>120</v>
      </c>
    </row>
    <row r="109" spans="14:18" x14ac:dyDescent="0.25">
      <c r="N109" s="28" t="s">
        <v>309</v>
      </c>
      <c r="O109">
        <v>1.1000000000000001</v>
      </c>
      <c r="P109" t="str">
        <f t="shared" si="9"/>
        <v>Twin1601.1</v>
      </c>
      <c r="Q109">
        <v>40</v>
      </c>
      <c r="R109">
        <v>120</v>
      </c>
    </row>
    <row r="110" spans="14:18" x14ac:dyDescent="0.25">
      <c r="N110" s="28" t="s">
        <v>309</v>
      </c>
      <c r="O110">
        <v>1.18</v>
      </c>
      <c r="P110" t="str">
        <f t="shared" si="9"/>
        <v>Twin1601.18</v>
      </c>
      <c r="Q110">
        <v>40</v>
      </c>
      <c r="R110">
        <v>120</v>
      </c>
    </row>
    <row r="111" spans="14:18" x14ac:dyDescent="0.25">
      <c r="N111" s="28" t="s">
        <v>309</v>
      </c>
      <c r="O111">
        <v>1.26</v>
      </c>
      <c r="P111" t="str">
        <f t="shared" si="9"/>
        <v>Twin1601.26</v>
      </c>
      <c r="Q111">
        <v>40</v>
      </c>
      <c r="R111">
        <v>120</v>
      </c>
    </row>
    <row r="112" spans="14:18" x14ac:dyDescent="0.25">
      <c r="N112" s="28" t="s">
        <v>309</v>
      </c>
      <c r="O112">
        <v>1.34</v>
      </c>
      <c r="P112" t="str">
        <f t="shared" si="9"/>
        <v>Twin1601.34</v>
      </c>
      <c r="Q112">
        <v>40</v>
      </c>
      <c r="R112">
        <v>120</v>
      </c>
    </row>
    <row r="113" spans="14:18" x14ac:dyDescent="0.25">
      <c r="N113" s="28" t="s">
        <v>309</v>
      </c>
      <c r="O113">
        <v>1.42</v>
      </c>
      <c r="P113" t="str">
        <f t="shared" si="9"/>
        <v>Twin1601.42</v>
      </c>
      <c r="Q113">
        <v>40</v>
      </c>
      <c r="R113">
        <v>120</v>
      </c>
    </row>
    <row r="114" spans="14:18" x14ac:dyDescent="0.25">
      <c r="N114" s="29" t="s">
        <v>309</v>
      </c>
      <c r="O114">
        <v>1.5</v>
      </c>
      <c r="P114" t="str">
        <f t="shared" si="9"/>
        <v>Twin1601.5</v>
      </c>
      <c r="Q114">
        <v>40</v>
      </c>
      <c r="R114">
        <v>120</v>
      </c>
    </row>
    <row r="115" spans="14:18" x14ac:dyDescent="0.25">
      <c r="N115" s="28" t="s">
        <v>310</v>
      </c>
      <c r="O115">
        <v>0.79</v>
      </c>
      <c r="P115" t="str">
        <f t="shared" si="9"/>
        <v>Twin202+0.79</v>
      </c>
      <c r="Q115">
        <v>40</v>
      </c>
      <c r="R115">
        <v>120</v>
      </c>
    </row>
    <row r="116" spans="14:18" x14ac:dyDescent="0.25">
      <c r="N116" s="28" t="s">
        <v>310</v>
      </c>
      <c r="O116">
        <v>0.87</v>
      </c>
      <c r="P116" t="str">
        <f t="shared" si="9"/>
        <v>Twin202+0.87</v>
      </c>
      <c r="Q116">
        <v>40</v>
      </c>
      <c r="R116">
        <v>120</v>
      </c>
    </row>
    <row r="117" spans="14:18" x14ac:dyDescent="0.25">
      <c r="N117" s="28" t="s">
        <v>310</v>
      </c>
      <c r="O117">
        <v>0.89</v>
      </c>
      <c r="P117" t="str">
        <f t="shared" si="9"/>
        <v>Twin202+0.89</v>
      </c>
      <c r="Q117">
        <v>40</v>
      </c>
      <c r="R117">
        <v>120</v>
      </c>
    </row>
    <row r="118" spans="14:18" x14ac:dyDescent="0.25">
      <c r="N118" s="28" t="s">
        <v>310</v>
      </c>
      <c r="O118">
        <v>0.91</v>
      </c>
      <c r="P118" t="str">
        <f t="shared" si="9"/>
        <v>Twin202+0.91</v>
      </c>
      <c r="Q118">
        <v>40</v>
      </c>
      <c r="R118">
        <v>120</v>
      </c>
    </row>
    <row r="119" spans="14:18" x14ac:dyDescent="0.25">
      <c r="N119" s="28" t="s">
        <v>310</v>
      </c>
      <c r="O119">
        <v>0.94</v>
      </c>
      <c r="P119" t="str">
        <f t="shared" si="9"/>
        <v>Twin202+0.94</v>
      </c>
      <c r="Q119">
        <v>40</v>
      </c>
      <c r="R119">
        <v>120</v>
      </c>
    </row>
    <row r="120" spans="14:18" x14ac:dyDescent="0.25">
      <c r="N120" s="28" t="s">
        <v>310</v>
      </c>
      <c r="O120">
        <v>0.98</v>
      </c>
      <c r="P120" t="str">
        <f t="shared" si="9"/>
        <v>Twin202+0.98</v>
      </c>
      <c r="Q120">
        <v>40</v>
      </c>
      <c r="R120">
        <v>120</v>
      </c>
    </row>
    <row r="121" spans="14:18" x14ac:dyDescent="0.25">
      <c r="N121" s="28" t="s">
        <v>310</v>
      </c>
      <c r="O121">
        <v>1.02</v>
      </c>
      <c r="P121" t="str">
        <f t="shared" si="9"/>
        <v>Twin202+1.02</v>
      </c>
      <c r="Q121">
        <v>40</v>
      </c>
      <c r="R121">
        <v>120</v>
      </c>
    </row>
    <row r="122" spans="14:18" x14ac:dyDescent="0.25">
      <c r="N122" s="28" t="s">
        <v>310</v>
      </c>
      <c r="O122">
        <v>1.06</v>
      </c>
      <c r="P122" t="str">
        <f t="shared" si="9"/>
        <v>Twin202+1.06</v>
      </c>
      <c r="Q122">
        <v>40</v>
      </c>
      <c r="R122">
        <v>120</v>
      </c>
    </row>
    <row r="123" spans="14:18" x14ac:dyDescent="0.25">
      <c r="N123" s="28" t="s">
        <v>310</v>
      </c>
      <c r="O123">
        <v>1.08</v>
      </c>
      <c r="P123" t="str">
        <f t="shared" si="9"/>
        <v>Twin202+1.08</v>
      </c>
      <c r="Q123">
        <v>40</v>
      </c>
      <c r="R123">
        <v>120</v>
      </c>
    </row>
    <row r="124" spans="14:18" x14ac:dyDescent="0.25">
      <c r="N124" s="28" t="s">
        <v>310</v>
      </c>
      <c r="O124">
        <v>1.1000000000000001</v>
      </c>
      <c r="P124" t="str">
        <f t="shared" si="9"/>
        <v>Twin202+1.1</v>
      </c>
      <c r="Q124">
        <v>40</v>
      </c>
      <c r="R124">
        <v>120</v>
      </c>
    </row>
    <row r="125" spans="14:18" x14ac:dyDescent="0.25">
      <c r="N125" s="28" t="s">
        <v>310</v>
      </c>
      <c r="O125">
        <v>1.18</v>
      </c>
      <c r="P125" t="str">
        <f t="shared" si="9"/>
        <v>Twin202+1.18</v>
      </c>
      <c r="Q125">
        <v>40</v>
      </c>
      <c r="R125">
        <v>120</v>
      </c>
    </row>
    <row r="126" spans="14:18" x14ac:dyDescent="0.25">
      <c r="N126" s="28" t="s">
        <v>310</v>
      </c>
      <c r="O126">
        <v>1.28</v>
      </c>
      <c r="P126" t="str">
        <f t="shared" si="9"/>
        <v>Twin202+1.28</v>
      </c>
      <c r="Q126">
        <v>40</v>
      </c>
      <c r="R126">
        <v>120</v>
      </c>
    </row>
    <row r="127" spans="14:18" x14ac:dyDescent="0.25">
      <c r="N127" s="28" t="s">
        <v>310</v>
      </c>
      <c r="O127">
        <v>1.38</v>
      </c>
      <c r="P127" t="str">
        <f t="shared" si="9"/>
        <v>Twin202+1.38</v>
      </c>
      <c r="Q127">
        <v>40</v>
      </c>
      <c r="R127">
        <v>120</v>
      </c>
    </row>
    <row r="128" spans="14:18" x14ac:dyDescent="0.25">
      <c r="N128" s="28" t="s">
        <v>310</v>
      </c>
      <c r="O128">
        <v>1.48</v>
      </c>
      <c r="P128" t="str">
        <f t="shared" si="9"/>
        <v>Twin202+1.48</v>
      </c>
      <c r="Q128">
        <v>40</v>
      </c>
      <c r="R128">
        <v>120</v>
      </c>
    </row>
    <row r="129" spans="14:18" x14ac:dyDescent="0.25">
      <c r="N129" s="29" t="s">
        <v>310</v>
      </c>
      <c r="O129">
        <v>1.58</v>
      </c>
      <c r="P129" t="str">
        <f t="shared" si="9"/>
        <v>Twin202+1.58</v>
      </c>
      <c r="Q129">
        <v>40</v>
      </c>
      <c r="R129">
        <v>120</v>
      </c>
    </row>
    <row r="130" spans="14:18" x14ac:dyDescent="0.25">
      <c r="N130" s="28" t="s">
        <v>311</v>
      </c>
      <c r="O130">
        <v>0.87</v>
      </c>
      <c r="P130" t="str">
        <f t="shared" si="9"/>
        <v>Twin202Ultra0.87</v>
      </c>
      <c r="Q130">
        <v>40</v>
      </c>
      <c r="R130">
        <v>120</v>
      </c>
    </row>
    <row r="131" spans="14:18" x14ac:dyDescent="0.25">
      <c r="N131" s="28" t="s">
        <v>311</v>
      </c>
      <c r="O131">
        <v>0.94</v>
      </c>
      <c r="P131" t="str">
        <f t="shared" ref="P131:P192" si="10">N131&amp;O131</f>
        <v>Twin202Ultra0.94</v>
      </c>
      <c r="Q131">
        <v>40</v>
      </c>
      <c r="R131">
        <v>120</v>
      </c>
    </row>
    <row r="132" spans="14:18" x14ac:dyDescent="0.25">
      <c r="N132" s="28" t="s">
        <v>311</v>
      </c>
      <c r="O132">
        <v>1.02</v>
      </c>
      <c r="P132" t="str">
        <f t="shared" si="10"/>
        <v>Twin202Ultra1.02</v>
      </c>
      <c r="Q132">
        <v>40</v>
      </c>
      <c r="R132">
        <v>120</v>
      </c>
    </row>
    <row r="133" spans="14:18" x14ac:dyDescent="0.25">
      <c r="N133" s="28" t="s">
        <v>311</v>
      </c>
      <c r="O133">
        <v>1.1000000000000001</v>
      </c>
      <c r="P133" t="str">
        <f t="shared" si="10"/>
        <v>Twin202Ultra1.1</v>
      </c>
      <c r="Q133">
        <v>40</v>
      </c>
      <c r="R133">
        <v>120</v>
      </c>
    </row>
    <row r="134" spans="14:18" x14ac:dyDescent="0.25">
      <c r="N134" s="28" t="s">
        <v>311</v>
      </c>
      <c r="O134">
        <v>1.18</v>
      </c>
      <c r="P134" t="str">
        <f t="shared" si="10"/>
        <v>Twin202Ultra1.18</v>
      </c>
      <c r="Q134">
        <v>40</v>
      </c>
      <c r="R134">
        <v>120</v>
      </c>
    </row>
    <row r="135" spans="14:18" x14ac:dyDescent="0.25">
      <c r="N135" s="28" t="s">
        <v>311</v>
      </c>
      <c r="O135">
        <v>1.26</v>
      </c>
      <c r="P135" t="str">
        <f t="shared" si="10"/>
        <v>Twin202Ultra1.26</v>
      </c>
      <c r="Q135">
        <v>40</v>
      </c>
      <c r="R135">
        <v>120</v>
      </c>
    </row>
    <row r="136" spans="14:18" x14ac:dyDescent="0.25">
      <c r="N136" s="28" t="s">
        <v>311</v>
      </c>
      <c r="O136">
        <v>1.34</v>
      </c>
      <c r="P136" t="str">
        <f t="shared" si="10"/>
        <v>Twin202Ultra1.34</v>
      </c>
      <c r="Q136">
        <v>40</v>
      </c>
      <c r="R136">
        <v>120</v>
      </c>
    </row>
    <row r="137" spans="14:18" x14ac:dyDescent="0.25">
      <c r="N137" s="28" t="s">
        <v>311</v>
      </c>
      <c r="O137">
        <v>1.42</v>
      </c>
      <c r="P137" t="str">
        <f t="shared" si="10"/>
        <v>Twin202Ultra1.42</v>
      </c>
      <c r="Q137">
        <v>40</v>
      </c>
      <c r="R137">
        <v>120</v>
      </c>
    </row>
    <row r="138" spans="14:18" x14ac:dyDescent="0.25">
      <c r="N138" s="28" t="s">
        <v>311</v>
      </c>
      <c r="O138">
        <v>1.5</v>
      </c>
      <c r="P138" t="str">
        <f t="shared" si="10"/>
        <v>Twin202Ultra1.5</v>
      </c>
      <c r="Q138">
        <v>40</v>
      </c>
      <c r="R138">
        <v>120</v>
      </c>
    </row>
    <row r="139" spans="14:18" x14ac:dyDescent="0.25">
      <c r="N139" s="28" t="s">
        <v>311</v>
      </c>
      <c r="O139">
        <v>1.57</v>
      </c>
      <c r="P139" t="str">
        <f t="shared" si="10"/>
        <v>Twin202Ultra1.57</v>
      </c>
      <c r="Q139">
        <v>40</v>
      </c>
      <c r="R139">
        <v>120</v>
      </c>
    </row>
    <row r="140" spans="14:18" x14ac:dyDescent="0.25">
      <c r="N140" s="28" t="s">
        <v>311</v>
      </c>
      <c r="O140">
        <v>1.65</v>
      </c>
      <c r="P140" t="str">
        <f t="shared" si="10"/>
        <v>Twin202Ultra1.65</v>
      </c>
      <c r="Q140">
        <v>40</v>
      </c>
      <c r="R140">
        <v>120</v>
      </c>
    </row>
    <row r="141" spans="14:18" x14ac:dyDescent="0.25">
      <c r="N141" s="28" t="s">
        <v>311</v>
      </c>
      <c r="O141">
        <v>1.73</v>
      </c>
      <c r="P141" t="str">
        <f t="shared" si="10"/>
        <v>Twin202Ultra1.73</v>
      </c>
      <c r="Q141">
        <v>40</v>
      </c>
      <c r="R141">
        <v>120</v>
      </c>
    </row>
    <row r="142" spans="14:18" x14ac:dyDescent="0.25">
      <c r="N142" s="29" t="s">
        <v>311</v>
      </c>
      <c r="O142">
        <v>1.77</v>
      </c>
      <c r="P142" t="str">
        <f t="shared" si="10"/>
        <v>Twin202Ultra1.77</v>
      </c>
      <c r="Q142">
        <v>40</v>
      </c>
      <c r="R142">
        <v>120</v>
      </c>
    </row>
    <row r="143" spans="14:18" x14ac:dyDescent="0.25">
      <c r="N143" s="28" t="s">
        <v>317</v>
      </c>
      <c r="O143">
        <v>0.39</v>
      </c>
      <c r="P143" t="str">
        <f t="shared" si="10"/>
        <v>TwinMax180.39</v>
      </c>
      <c r="Q143">
        <v>25</v>
      </c>
      <c r="R143">
        <v>110</v>
      </c>
    </row>
    <row r="144" spans="14:18" x14ac:dyDescent="0.25">
      <c r="N144" s="28" t="s">
        <v>317</v>
      </c>
      <c r="O144">
        <v>0.43</v>
      </c>
      <c r="P144" t="str">
        <f t="shared" si="10"/>
        <v>TwinMax180.43</v>
      </c>
      <c r="Q144">
        <v>25</v>
      </c>
      <c r="R144">
        <v>110</v>
      </c>
    </row>
    <row r="145" spans="14:18" x14ac:dyDescent="0.25">
      <c r="N145" s="28" t="s">
        <v>317</v>
      </c>
      <c r="O145">
        <v>0.47</v>
      </c>
      <c r="P145" t="str">
        <f t="shared" si="10"/>
        <v>TwinMax180.47</v>
      </c>
      <c r="Q145">
        <v>25</v>
      </c>
      <c r="R145">
        <v>110</v>
      </c>
    </row>
    <row r="146" spans="14:18" x14ac:dyDescent="0.25">
      <c r="N146" s="28" t="s">
        <v>317</v>
      </c>
      <c r="O146">
        <v>0.51</v>
      </c>
      <c r="P146" t="str">
        <f t="shared" si="10"/>
        <v>TwinMax180.51</v>
      </c>
      <c r="Q146">
        <v>25</v>
      </c>
      <c r="R146">
        <v>110</v>
      </c>
    </row>
    <row r="147" spans="14:18" x14ac:dyDescent="0.25">
      <c r="N147" s="28" t="s">
        <v>317</v>
      </c>
      <c r="O147">
        <v>0.55000000000000004</v>
      </c>
      <c r="P147" t="str">
        <f t="shared" si="10"/>
        <v>TwinMax180.55</v>
      </c>
      <c r="Q147">
        <v>25</v>
      </c>
      <c r="R147">
        <v>110</v>
      </c>
    </row>
    <row r="148" spans="14:18" x14ac:dyDescent="0.25">
      <c r="N148" s="28" t="s">
        <v>317</v>
      </c>
      <c r="O148">
        <v>0.59000000000000008</v>
      </c>
      <c r="P148" t="str">
        <f t="shared" si="10"/>
        <v>TwinMax180.59</v>
      </c>
      <c r="Q148">
        <v>25</v>
      </c>
      <c r="R148">
        <v>110</v>
      </c>
    </row>
    <row r="149" spans="14:18" x14ac:dyDescent="0.25">
      <c r="N149" s="28" t="s">
        <v>317</v>
      </c>
      <c r="O149">
        <v>0.63</v>
      </c>
      <c r="P149" t="str">
        <f t="shared" si="10"/>
        <v>TwinMax180.63</v>
      </c>
      <c r="Q149">
        <v>25</v>
      </c>
      <c r="R149">
        <v>110</v>
      </c>
    </row>
    <row r="150" spans="14:18" x14ac:dyDescent="0.25">
      <c r="N150" s="28" t="s">
        <v>317</v>
      </c>
      <c r="O150">
        <v>0.67</v>
      </c>
      <c r="P150" t="str">
        <f t="shared" si="10"/>
        <v>TwinMax180.67</v>
      </c>
      <c r="Q150">
        <v>25</v>
      </c>
      <c r="R150">
        <v>110</v>
      </c>
    </row>
    <row r="151" spans="14:18" x14ac:dyDescent="0.25">
      <c r="N151" s="28" t="s">
        <v>317</v>
      </c>
      <c r="O151">
        <v>0.71</v>
      </c>
      <c r="P151" t="str">
        <f t="shared" si="10"/>
        <v>TwinMax180.71</v>
      </c>
      <c r="Q151">
        <v>25</v>
      </c>
      <c r="R151">
        <v>110</v>
      </c>
    </row>
    <row r="152" spans="14:18" x14ac:dyDescent="0.25">
      <c r="N152" s="28" t="s">
        <v>317</v>
      </c>
      <c r="O152">
        <v>0.79</v>
      </c>
      <c r="P152" t="str">
        <f t="shared" si="10"/>
        <v>TwinMax180.79</v>
      </c>
      <c r="Q152">
        <v>25</v>
      </c>
      <c r="R152">
        <v>110</v>
      </c>
    </row>
    <row r="153" spans="14:18" x14ac:dyDescent="0.25">
      <c r="N153" s="28" t="s">
        <v>317</v>
      </c>
      <c r="O153">
        <v>0.87</v>
      </c>
      <c r="P153" t="str">
        <f t="shared" si="10"/>
        <v>TwinMax180.87</v>
      </c>
      <c r="Q153">
        <v>25</v>
      </c>
      <c r="R153">
        <v>110</v>
      </c>
    </row>
    <row r="154" spans="14:18" x14ac:dyDescent="0.25">
      <c r="N154" s="29" t="s">
        <v>317</v>
      </c>
      <c r="O154">
        <v>0.94</v>
      </c>
      <c r="P154" t="str">
        <f t="shared" si="10"/>
        <v>TwinMax180.94</v>
      </c>
      <c r="Q154">
        <v>25</v>
      </c>
      <c r="R154">
        <v>110</v>
      </c>
    </row>
    <row r="155" spans="14:18" x14ac:dyDescent="0.25">
      <c r="N155" s="28" t="s">
        <v>312</v>
      </c>
      <c r="O155">
        <v>0.4</v>
      </c>
      <c r="P155" t="str">
        <f t="shared" si="10"/>
        <v>X100-51H180.4</v>
      </c>
      <c r="Q155">
        <v>40</v>
      </c>
      <c r="R155">
        <v>85</v>
      </c>
    </row>
    <row r="156" spans="14:18" x14ac:dyDescent="0.25">
      <c r="N156" s="28" t="s">
        <v>312</v>
      </c>
      <c r="O156">
        <v>0.45</v>
      </c>
      <c r="P156" t="str">
        <f t="shared" si="10"/>
        <v>X100-51H180.45</v>
      </c>
      <c r="Q156">
        <v>40</v>
      </c>
      <c r="R156">
        <v>85</v>
      </c>
    </row>
    <row r="157" spans="14:18" x14ac:dyDescent="0.25">
      <c r="N157" s="28" t="s">
        <v>312</v>
      </c>
      <c r="O157">
        <v>0.5</v>
      </c>
      <c r="P157" t="str">
        <f t="shared" si="10"/>
        <v>X100-51H180.5</v>
      </c>
      <c r="Q157">
        <v>40</v>
      </c>
      <c r="R157">
        <v>75</v>
      </c>
    </row>
    <row r="158" spans="14:18" x14ac:dyDescent="0.25">
      <c r="N158" s="28" t="s">
        <v>312</v>
      </c>
      <c r="O158">
        <v>0.55000000000000004</v>
      </c>
      <c r="P158" t="str">
        <f t="shared" si="10"/>
        <v>X100-51H180.55</v>
      </c>
      <c r="Q158">
        <v>40</v>
      </c>
      <c r="R158">
        <v>60</v>
      </c>
    </row>
    <row r="159" spans="14:18" x14ac:dyDescent="0.25">
      <c r="N159" s="28" t="s">
        <v>312</v>
      </c>
      <c r="O159">
        <v>0.6</v>
      </c>
      <c r="P159" t="str">
        <f t="shared" si="10"/>
        <v>X100-51H180.6</v>
      </c>
      <c r="Q159">
        <v>40</v>
      </c>
      <c r="R159">
        <v>50</v>
      </c>
    </row>
    <row r="160" spans="14:18" x14ac:dyDescent="0.25">
      <c r="N160" s="29" t="s">
        <v>312</v>
      </c>
      <c r="O160">
        <v>0.65</v>
      </c>
      <c r="P160" t="str">
        <f t="shared" si="10"/>
        <v>X100-51H180.65</v>
      </c>
      <c r="Q160">
        <v>40</v>
      </c>
      <c r="R160">
        <v>40</v>
      </c>
    </row>
    <row r="161" spans="14:18" x14ac:dyDescent="0.25">
      <c r="N161" s="28" t="s">
        <v>313</v>
      </c>
      <c r="O161">
        <v>0.4</v>
      </c>
      <c r="P161" t="str">
        <f t="shared" si="10"/>
        <v>X100-51H240.4</v>
      </c>
      <c r="Q161">
        <v>40</v>
      </c>
      <c r="R161">
        <v>85</v>
      </c>
    </row>
    <row r="162" spans="14:18" x14ac:dyDescent="0.25">
      <c r="N162" s="28" t="s">
        <v>313</v>
      </c>
      <c r="O162">
        <v>0.45</v>
      </c>
      <c r="P162" t="str">
        <f t="shared" si="10"/>
        <v>X100-51H240.45</v>
      </c>
      <c r="Q162">
        <v>40</v>
      </c>
      <c r="R162">
        <v>85</v>
      </c>
    </row>
    <row r="163" spans="14:18" x14ac:dyDescent="0.25">
      <c r="N163" s="28" t="s">
        <v>313</v>
      </c>
      <c r="O163">
        <v>0.5</v>
      </c>
      <c r="P163" t="str">
        <f t="shared" si="10"/>
        <v>X100-51H240.5</v>
      </c>
      <c r="Q163">
        <v>40</v>
      </c>
      <c r="R163">
        <v>75</v>
      </c>
    </row>
    <row r="164" spans="14:18" x14ac:dyDescent="0.25">
      <c r="N164" s="28" t="s">
        <v>313</v>
      </c>
      <c r="O164">
        <v>0.55000000000000004</v>
      </c>
      <c r="P164" t="str">
        <f t="shared" si="10"/>
        <v>X100-51H240.55</v>
      </c>
      <c r="Q164">
        <v>40</v>
      </c>
      <c r="R164">
        <v>60</v>
      </c>
    </row>
    <row r="165" spans="14:18" x14ac:dyDescent="0.25">
      <c r="N165" s="28" t="s">
        <v>313</v>
      </c>
      <c r="O165">
        <v>0.6</v>
      </c>
      <c r="P165" t="str">
        <f t="shared" si="10"/>
        <v>X100-51H240.6</v>
      </c>
      <c r="Q165">
        <v>40</v>
      </c>
      <c r="R165">
        <v>50</v>
      </c>
    </row>
    <row r="166" spans="14:18" x14ac:dyDescent="0.25">
      <c r="N166" s="29" t="s">
        <v>313</v>
      </c>
      <c r="O166">
        <v>0.65</v>
      </c>
      <c r="P166" t="str">
        <f t="shared" si="10"/>
        <v>X100-51H240.65</v>
      </c>
      <c r="Q166">
        <v>40</v>
      </c>
      <c r="R166">
        <v>40</v>
      </c>
    </row>
    <row r="167" spans="14:18" x14ac:dyDescent="0.25">
      <c r="N167" s="28" t="s">
        <v>314</v>
      </c>
      <c r="O167">
        <v>0.4</v>
      </c>
      <c r="P167" t="str">
        <f t="shared" si="10"/>
        <v>X100-51L180.4</v>
      </c>
      <c r="Q167">
        <v>90</v>
      </c>
      <c r="R167">
        <v>100</v>
      </c>
    </row>
    <row r="168" spans="14:18" x14ac:dyDescent="0.25">
      <c r="N168" s="28" t="s">
        <v>314</v>
      </c>
      <c r="O168">
        <v>0.45</v>
      </c>
      <c r="P168" t="str">
        <f t="shared" si="10"/>
        <v>X100-51L180.45</v>
      </c>
      <c r="Q168">
        <v>90</v>
      </c>
      <c r="R168">
        <v>100</v>
      </c>
    </row>
    <row r="169" spans="14:18" x14ac:dyDescent="0.25">
      <c r="N169" s="28" t="s">
        <v>314</v>
      </c>
      <c r="O169">
        <v>0.5</v>
      </c>
      <c r="P169" t="str">
        <f t="shared" si="10"/>
        <v>X100-51L180.5</v>
      </c>
      <c r="Q169">
        <v>80</v>
      </c>
      <c r="R169">
        <v>100</v>
      </c>
    </row>
    <row r="170" spans="14:18" x14ac:dyDescent="0.25">
      <c r="N170" s="28" t="s">
        <v>314</v>
      </c>
      <c r="O170">
        <v>0.55000000000000004</v>
      </c>
      <c r="P170" t="str">
        <f t="shared" si="10"/>
        <v>X100-51L180.55</v>
      </c>
      <c r="Q170">
        <v>65</v>
      </c>
      <c r="R170">
        <v>100</v>
      </c>
    </row>
    <row r="171" spans="14:18" x14ac:dyDescent="0.25">
      <c r="N171" s="28" t="s">
        <v>314</v>
      </c>
      <c r="O171">
        <v>0.6</v>
      </c>
      <c r="P171" t="str">
        <f t="shared" si="10"/>
        <v>X100-51L180.6</v>
      </c>
      <c r="Q171">
        <v>55</v>
      </c>
      <c r="R171">
        <v>100</v>
      </c>
    </row>
    <row r="172" spans="14:18" x14ac:dyDescent="0.25">
      <c r="N172" s="28" t="s">
        <v>314</v>
      </c>
      <c r="O172">
        <v>0.65</v>
      </c>
      <c r="P172" t="str">
        <f t="shared" si="10"/>
        <v>X100-51L180.65</v>
      </c>
      <c r="Q172">
        <v>45</v>
      </c>
      <c r="R172">
        <v>100</v>
      </c>
    </row>
    <row r="173" spans="14:18" x14ac:dyDescent="0.25">
      <c r="N173" s="28" t="s">
        <v>314</v>
      </c>
      <c r="O173">
        <v>0.7</v>
      </c>
      <c r="P173" t="str">
        <f t="shared" si="10"/>
        <v>X100-51L180.7</v>
      </c>
      <c r="Q173">
        <v>40</v>
      </c>
      <c r="R173">
        <v>100</v>
      </c>
    </row>
    <row r="174" spans="14:18" x14ac:dyDescent="0.25">
      <c r="N174" s="28" t="s">
        <v>314</v>
      </c>
      <c r="O174">
        <v>0.75</v>
      </c>
      <c r="P174" t="str">
        <f t="shared" si="10"/>
        <v>X100-51L180.75</v>
      </c>
      <c r="Q174">
        <v>40</v>
      </c>
      <c r="R174">
        <v>100</v>
      </c>
    </row>
    <row r="175" spans="14:18" x14ac:dyDescent="0.25">
      <c r="N175" s="28" t="s">
        <v>314</v>
      </c>
      <c r="O175">
        <v>0.8</v>
      </c>
      <c r="P175" t="str">
        <f t="shared" si="10"/>
        <v>X100-51L180.8</v>
      </c>
      <c r="Q175">
        <v>40</v>
      </c>
      <c r="R175">
        <v>100</v>
      </c>
    </row>
    <row r="176" spans="14:18" x14ac:dyDescent="0.25">
      <c r="N176" s="28" t="s">
        <v>314</v>
      </c>
      <c r="O176">
        <v>0.85</v>
      </c>
      <c r="P176" t="str">
        <f t="shared" si="10"/>
        <v>X100-51L180.85</v>
      </c>
      <c r="Q176">
        <v>40</v>
      </c>
      <c r="R176">
        <v>100</v>
      </c>
    </row>
    <row r="177" spans="14:18" x14ac:dyDescent="0.25">
      <c r="N177" s="28" t="s">
        <v>314</v>
      </c>
      <c r="O177">
        <v>0.9</v>
      </c>
      <c r="P177" t="str">
        <f t="shared" si="10"/>
        <v>X100-51L180.9</v>
      </c>
      <c r="Q177">
        <v>40</v>
      </c>
      <c r="R177">
        <v>100</v>
      </c>
    </row>
    <row r="178" spans="14:18" x14ac:dyDescent="0.25">
      <c r="N178" s="28" t="s">
        <v>314</v>
      </c>
      <c r="O178">
        <v>0.95</v>
      </c>
      <c r="P178" t="str">
        <f t="shared" si="10"/>
        <v>X100-51L180.95</v>
      </c>
      <c r="Q178">
        <v>40</v>
      </c>
      <c r="R178">
        <v>100</v>
      </c>
    </row>
    <row r="179" spans="14:18" x14ac:dyDescent="0.25">
      <c r="N179" s="29" t="s">
        <v>314</v>
      </c>
      <c r="O179">
        <v>1</v>
      </c>
      <c r="P179" t="str">
        <f t="shared" si="10"/>
        <v>X100-51L181</v>
      </c>
      <c r="Q179">
        <v>45</v>
      </c>
      <c r="R179">
        <v>100</v>
      </c>
    </row>
    <row r="180" spans="14:18" x14ac:dyDescent="0.25">
      <c r="N180" s="28" t="s">
        <v>315</v>
      </c>
      <c r="O180">
        <v>0.4</v>
      </c>
      <c r="P180" t="str">
        <f t="shared" si="10"/>
        <v>X100-51L240.4</v>
      </c>
      <c r="Q180">
        <v>90</v>
      </c>
      <c r="R180">
        <v>100</v>
      </c>
    </row>
    <row r="181" spans="14:18" x14ac:dyDescent="0.25">
      <c r="N181" s="28" t="s">
        <v>315</v>
      </c>
      <c r="O181">
        <v>0.45</v>
      </c>
      <c r="P181" t="str">
        <f t="shared" si="10"/>
        <v>X100-51L240.45</v>
      </c>
      <c r="Q181">
        <v>90</v>
      </c>
      <c r="R181">
        <v>100</v>
      </c>
    </row>
    <row r="182" spans="14:18" x14ac:dyDescent="0.25">
      <c r="N182" s="28" t="s">
        <v>315</v>
      </c>
      <c r="O182">
        <v>0.5</v>
      </c>
      <c r="P182" t="str">
        <f t="shared" si="10"/>
        <v>X100-51L240.5</v>
      </c>
      <c r="Q182">
        <v>80</v>
      </c>
      <c r="R182">
        <v>100</v>
      </c>
    </row>
    <row r="183" spans="14:18" x14ac:dyDescent="0.25">
      <c r="N183" s="28" t="s">
        <v>315</v>
      </c>
      <c r="O183">
        <v>0.55000000000000004</v>
      </c>
      <c r="P183" t="str">
        <f t="shared" si="10"/>
        <v>X100-51L240.55</v>
      </c>
      <c r="Q183">
        <v>65</v>
      </c>
      <c r="R183">
        <v>100</v>
      </c>
    </row>
    <row r="184" spans="14:18" x14ac:dyDescent="0.25">
      <c r="N184" s="28" t="s">
        <v>315</v>
      </c>
      <c r="O184">
        <v>0.6</v>
      </c>
      <c r="P184" t="str">
        <f t="shared" si="10"/>
        <v>X100-51L240.6</v>
      </c>
      <c r="Q184">
        <v>55</v>
      </c>
      <c r="R184">
        <v>100</v>
      </c>
    </row>
    <row r="185" spans="14:18" x14ac:dyDescent="0.25">
      <c r="N185" s="28" t="s">
        <v>315</v>
      </c>
      <c r="O185">
        <v>0.65</v>
      </c>
      <c r="P185" t="str">
        <f t="shared" si="10"/>
        <v>X100-51L240.65</v>
      </c>
      <c r="Q185">
        <v>45</v>
      </c>
      <c r="R185">
        <v>100</v>
      </c>
    </row>
    <row r="186" spans="14:18" x14ac:dyDescent="0.25">
      <c r="N186" s="28" t="s">
        <v>315</v>
      </c>
      <c r="O186">
        <v>0.7</v>
      </c>
      <c r="P186" t="str">
        <f t="shared" si="10"/>
        <v>X100-51L240.7</v>
      </c>
      <c r="Q186">
        <v>40</v>
      </c>
      <c r="R186">
        <v>100</v>
      </c>
    </row>
    <row r="187" spans="14:18" x14ac:dyDescent="0.25">
      <c r="N187" s="28" t="s">
        <v>315</v>
      </c>
      <c r="O187">
        <v>0.75</v>
      </c>
      <c r="P187" t="str">
        <f t="shared" si="10"/>
        <v>X100-51L240.75</v>
      </c>
      <c r="Q187">
        <v>40</v>
      </c>
      <c r="R187">
        <v>100</v>
      </c>
    </row>
    <row r="188" spans="14:18" x14ac:dyDescent="0.25">
      <c r="N188" s="28" t="s">
        <v>315</v>
      </c>
      <c r="O188">
        <v>0.8</v>
      </c>
      <c r="P188" t="str">
        <f t="shared" si="10"/>
        <v>X100-51L240.8</v>
      </c>
      <c r="Q188">
        <v>40</v>
      </c>
      <c r="R188">
        <v>100</v>
      </c>
    </row>
    <row r="189" spans="14:18" x14ac:dyDescent="0.25">
      <c r="N189" s="28" t="s">
        <v>315</v>
      </c>
      <c r="O189">
        <v>0.85</v>
      </c>
      <c r="P189" t="str">
        <f t="shared" si="10"/>
        <v>X100-51L240.85</v>
      </c>
      <c r="Q189">
        <v>40</v>
      </c>
      <c r="R189">
        <v>100</v>
      </c>
    </row>
    <row r="190" spans="14:18" x14ac:dyDescent="0.25">
      <c r="N190" s="28" t="s">
        <v>315</v>
      </c>
      <c r="O190">
        <v>0.9</v>
      </c>
      <c r="P190" t="str">
        <f t="shared" si="10"/>
        <v>X100-51L240.9</v>
      </c>
      <c r="Q190">
        <v>40</v>
      </c>
      <c r="R190">
        <v>100</v>
      </c>
    </row>
    <row r="191" spans="14:18" x14ac:dyDescent="0.25">
      <c r="N191" s="28" t="s">
        <v>315</v>
      </c>
      <c r="O191">
        <v>0.95</v>
      </c>
      <c r="P191" t="str">
        <f t="shared" si="10"/>
        <v>X100-51L240.95</v>
      </c>
      <c r="Q191">
        <v>40</v>
      </c>
      <c r="R191">
        <v>100</v>
      </c>
    </row>
    <row r="192" spans="14:18" x14ac:dyDescent="0.25">
      <c r="N192" s="29" t="s">
        <v>315</v>
      </c>
      <c r="O192">
        <v>1</v>
      </c>
      <c r="P192" t="str">
        <f t="shared" si="10"/>
        <v>X100-51L241</v>
      </c>
      <c r="Q192">
        <v>45</v>
      </c>
      <c r="R192">
        <v>100</v>
      </c>
    </row>
  </sheetData>
  <sheetProtection selectLockedCells="1"/>
  <pageMargins left="0.7" right="0.7" top="0.75" bottom="0.75" header="0.3" footer="0.3"/>
  <pageSetup paperSize="9" orientation="portrait" horizontalDpi="90" verticalDpi="90" r:id="rId1"/>
  <headerFooter>
    <oddHeader>&amp;C&amp;"Calibri"&amp;12&amp;K000000UNOFFICIAL&amp;1#</oddHeader>
    <oddFooter>&amp;C&amp;1#&amp;"Calibri"&amp;12&amp;K000000UNOFFICIAL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13457-88CC-4422-BD9F-DE5A75B72DE1}">
  <dimension ref="A2:AE73"/>
  <sheetViews>
    <sheetView workbookViewId="0"/>
  </sheetViews>
  <sheetFormatPr defaultRowHeight="15" x14ac:dyDescent="0.25"/>
  <sheetData>
    <row r="2" spans="1:31" x14ac:dyDescent="0.25">
      <c r="D2" t="s">
        <v>8</v>
      </c>
    </row>
    <row r="3" spans="1:31" x14ac:dyDescent="0.25">
      <c r="P3" s="360" t="s">
        <v>508</v>
      </c>
      <c r="Q3" s="360"/>
      <c r="R3" s="360"/>
      <c r="S3" s="360"/>
      <c r="T3" s="360"/>
      <c r="V3" s="360" t="s">
        <v>354</v>
      </c>
      <c r="W3" s="360"/>
      <c r="X3" s="360"/>
      <c r="Y3" s="360"/>
      <c r="Z3" s="360"/>
      <c r="AA3" s="410" t="s">
        <v>509</v>
      </c>
      <c r="AB3" s="410"/>
      <c r="AC3" s="410"/>
      <c r="AD3" s="410"/>
      <c r="AE3" t="s">
        <v>510</v>
      </c>
    </row>
    <row r="4" spans="1:31" ht="45" x14ac:dyDescent="0.25">
      <c r="A4" s="194" t="s">
        <v>511</v>
      </c>
      <c r="B4" s="194"/>
      <c r="C4" s="194" t="s">
        <v>512</v>
      </c>
      <c r="D4" s="194" t="s">
        <v>513</v>
      </c>
      <c r="E4" s="194" t="s">
        <v>511</v>
      </c>
      <c r="F4" s="194" t="s">
        <v>514</v>
      </c>
      <c r="G4" s="194" t="s">
        <v>515</v>
      </c>
      <c r="H4" s="194" t="s">
        <v>358</v>
      </c>
      <c r="I4" s="194"/>
      <c r="J4" s="219" t="s">
        <v>516</v>
      </c>
      <c r="K4" s="194" t="s">
        <v>517</v>
      </c>
      <c r="L4" s="194" t="s">
        <v>518</v>
      </c>
      <c r="M4" s="194" t="s">
        <v>519</v>
      </c>
      <c r="N4" s="194" t="s">
        <v>520</v>
      </c>
      <c r="P4" s="219" t="s">
        <v>521</v>
      </c>
      <c r="Q4" s="194" t="s">
        <v>517</v>
      </c>
      <c r="R4" s="194" t="s">
        <v>518</v>
      </c>
      <c r="S4" s="194" t="s">
        <v>519</v>
      </c>
      <c r="T4" s="194" t="s">
        <v>520</v>
      </c>
      <c r="V4" s="219" t="s">
        <v>521</v>
      </c>
      <c r="W4" s="194" t="s">
        <v>517</v>
      </c>
      <c r="X4" s="194" t="s">
        <v>518</v>
      </c>
      <c r="Y4" s="194" t="s">
        <v>519</v>
      </c>
      <c r="Z4" s="194" t="s">
        <v>520</v>
      </c>
      <c r="AA4" s="194" t="s">
        <v>517</v>
      </c>
      <c r="AB4" s="194" t="s">
        <v>518</v>
      </c>
      <c r="AC4" s="194" t="s">
        <v>519</v>
      </c>
      <c r="AD4" s="194" t="s">
        <v>520</v>
      </c>
    </row>
    <row r="5" spans="1:31" x14ac:dyDescent="0.25">
      <c r="B5" t="s">
        <v>522</v>
      </c>
      <c r="H5">
        <f>'STEP 1 Benchmark'!L12</f>
        <v>150</v>
      </c>
      <c r="J5" t="s">
        <v>522</v>
      </c>
      <c r="K5" s="220">
        <v>0</v>
      </c>
      <c r="L5">
        <v>0</v>
      </c>
      <c r="M5">
        <v>0</v>
      </c>
      <c r="N5">
        <f>'STEP 1 Benchmark'!L12</f>
        <v>150</v>
      </c>
      <c r="P5" t="s">
        <v>522</v>
      </c>
      <c r="Q5" s="220">
        <v>0</v>
      </c>
      <c r="R5">
        <v>0</v>
      </c>
      <c r="S5">
        <v>0</v>
      </c>
      <c r="T5">
        <f>'STEP 1 Benchmark'!$L$12</f>
        <v>150</v>
      </c>
      <c r="V5" t="s">
        <v>523</v>
      </c>
      <c r="W5" s="220">
        <v>0</v>
      </c>
      <c r="X5">
        <v>0</v>
      </c>
      <c r="Y5">
        <v>0</v>
      </c>
      <c r="Z5">
        <v>0</v>
      </c>
      <c r="AA5" s="220">
        <v>0</v>
      </c>
      <c r="AB5">
        <v>0</v>
      </c>
      <c r="AC5">
        <v>0</v>
      </c>
      <c r="AD5">
        <f>'STEP 1 Benchmark'!$L$12</f>
        <v>150</v>
      </c>
    </row>
    <row r="6" spans="1:31" x14ac:dyDescent="0.25">
      <c r="B6">
        <v>1</v>
      </c>
      <c r="C6" s="221">
        <v>0.53722222222222216</v>
      </c>
      <c r="D6" s="221">
        <v>4.835</v>
      </c>
      <c r="E6" s="221">
        <v>10.744444444444445</v>
      </c>
      <c r="F6" s="221">
        <v>10.798166666666667</v>
      </c>
      <c r="G6" s="221">
        <v>8.971611111111109</v>
      </c>
      <c r="H6" s="221">
        <v>35.886444444444443</v>
      </c>
      <c r="J6" s="222" t="s">
        <v>524</v>
      </c>
      <c r="K6" s="220">
        <v>149.17692307695236</v>
      </c>
      <c r="L6" s="223">
        <f>K6*'STEP 1 Benchmark'!$L$11</f>
        <v>63.932967032979583</v>
      </c>
      <c r="M6" s="223" t="e">
        <f>K6*'STEP 1 Benchmark'!$L$11/'STEP 2 Detailed analysis'!$AD$23</f>
        <v>#DIV/0!</v>
      </c>
      <c r="N6" cm="1">
        <f t="array" ref="N6">_xlfn.IFS('STEP 1 Benchmark'!$D$3='STEP 1 Benchmark'!$Q$5,'data for graph'!M6,'STEP 1 Benchmark'!$D$3='STEP 1 Benchmark'!$Q$7,'data for graph'!L6)</f>
        <v>63.932967032979583</v>
      </c>
      <c r="P6" s="409" t="s">
        <v>525</v>
      </c>
      <c r="Q6" s="220">
        <v>191.57088122605364</v>
      </c>
      <c r="R6" s="223">
        <f>Q6*'STEP 1 Benchmark'!$L$11</f>
        <v>82.101806239737272</v>
      </c>
      <c r="S6" s="223" t="e">
        <f>Q6*'STEP 1 Benchmark'!$L$11/'STEP 2 Detailed analysis'!$AD$23</f>
        <v>#DIV/0!</v>
      </c>
      <c r="T6" cm="1">
        <f t="array" ref="T6">_xlfn.IFS('STEP 1 Benchmark'!$D$3='STEP 1 Benchmark'!$Q$5,'data for graph'!S6,'STEP 1 Benchmark'!$D$3='STEP 1 Benchmark'!$Q$7,'data for graph'!R6)</f>
        <v>82.101806239737272</v>
      </c>
      <c r="U6" t="s">
        <v>526</v>
      </c>
      <c r="V6" t="s">
        <v>523</v>
      </c>
      <c r="W6">
        <v>102.7777777777778</v>
      </c>
      <c r="X6" s="223">
        <f>W6*'STEP 1 Benchmark'!$L$11</f>
        <v>44.047619047619058</v>
      </c>
      <c r="Y6" s="223" t="e">
        <f>W6*'STEP 1 Benchmark'!$L$11/'STEP 2 Detailed analysis'!$AD$23</f>
        <v>#DIV/0!</v>
      </c>
      <c r="Z6" cm="1">
        <f t="array" ref="Z6">_xlfn.IFS('STEP 1 Benchmark'!$D$3='STEP 1 Benchmark'!$Q$5,'data for graph'!Y6,'STEP 1 Benchmark'!$D$3='STEP 1 Benchmark'!$Q$7,'data for graph'!X6)</f>
        <v>44.047619047619058</v>
      </c>
      <c r="AA6">
        <v>292.89789789789791</v>
      </c>
      <c r="AB6" s="223">
        <f>AA6*'STEP 1 Benchmark'!$L$11</f>
        <v>125.52767052767052</v>
      </c>
      <c r="AC6" s="223" t="e">
        <f>AA6*'STEP 1 Benchmark'!$L$11/'STEP 2 Detailed analysis'!$AD$23</f>
        <v>#DIV/0!</v>
      </c>
      <c r="AD6" cm="1">
        <f t="array" ref="AD6">_xlfn.IFS('STEP 1 Benchmark'!$D$3='STEP 1 Benchmark'!$Q$5,'data for graph'!AC6,'STEP 1 Benchmark'!$D$3='STEP 1 Benchmark'!$Q$7,'data for graph'!AB6)</f>
        <v>125.52767052767052</v>
      </c>
      <c r="AE6">
        <f t="shared" ref="AE6:AE55" si="0">Z6+AD6</f>
        <v>169.57528957528959</v>
      </c>
    </row>
    <row r="7" spans="1:31" x14ac:dyDescent="0.25">
      <c r="B7">
        <v>2</v>
      </c>
      <c r="C7" s="221">
        <v>6.9444444444444455</v>
      </c>
      <c r="D7" s="221">
        <v>9.7222222222222232</v>
      </c>
      <c r="E7" s="221">
        <v>16.666666666666668</v>
      </c>
      <c r="F7" s="221">
        <v>9.7701149425287319</v>
      </c>
      <c r="G7" s="221">
        <v>4.7892720306513414</v>
      </c>
      <c r="H7" s="221">
        <v>47.892720306513404</v>
      </c>
      <c r="J7" s="222" t="s">
        <v>524</v>
      </c>
      <c r="K7" s="220">
        <v>185.00948766603415</v>
      </c>
      <c r="L7" s="223">
        <f>K7*'STEP 1 Benchmark'!$L$11</f>
        <v>79.289780428300347</v>
      </c>
      <c r="M7" s="223" t="e">
        <f>K7*'STEP 1 Benchmark'!$L$11/'STEP 2 Detailed analysis'!$AD$23</f>
        <v>#DIV/0!</v>
      </c>
      <c r="N7" cm="1">
        <f t="array" ref="N7">_xlfn.IFS('STEP 1 Benchmark'!$D$3='STEP 1 Benchmark'!$Q$5,'data for graph'!M7,'STEP 1 Benchmark'!$D$3='STEP 1 Benchmark'!$Q$7,'data for graph'!L7)</f>
        <v>79.289780428300347</v>
      </c>
      <c r="P7" s="409"/>
      <c r="Q7" s="220">
        <v>200.61728395061729</v>
      </c>
      <c r="R7" s="223">
        <f>Q7*'STEP 1 Benchmark'!$L$11</f>
        <v>85.978835978835974</v>
      </c>
      <c r="S7" s="223" t="e">
        <f>Q7*'STEP 1 Benchmark'!$L$11/'STEP 2 Detailed analysis'!$AD$23</f>
        <v>#DIV/0!</v>
      </c>
      <c r="T7" cm="1">
        <f t="array" ref="T7">_xlfn.IFS('STEP 1 Benchmark'!$D$3='STEP 1 Benchmark'!$Q$5,'data for graph'!S7,'STEP 1 Benchmark'!$D$3='STEP 1 Benchmark'!$Q$7,'data for graph'!R7)</f>
        <v>85.978835978835974</v>
      </c>
      <c r="V7" t="s">
        <v>523</v>
      </c>
      <c r="W7">
        <v>100</v>
      </c>
      <c r="X7" s="223">
        <f>W7*'STEP 1 Benchmark'!$L$11</f>
        <v>42.857142857142854</v>
      </c>
      <c r="Y7" s="223" t="e">
        <f>W7*'STEP 1 Benchmark'!$L$11/'STEP 2 Detailed analysis'!$AD$23</f>
        <v>#DIV/0!</v>
      </c>
      <c r="Z7" cm="1">
        <f t="array" ref="Z7">_xlfn.IFS('STEP 1 Benchmark'!$D$3='STEP 1 Benchmark'!$Q$5,'data for graph'!Y7,'STEP 1 Benchmark'!$D$3='STEP 1 Benchmark'!$Q$7,'data for graph'!X7)</f>
        <v>42.857142857142854</v>
      </c>
      <c r="AA7">
        <v>316.66666666666663</v>
      </c>
      <c r="AB7" s="223">
        <f>AA7*'STEP 1 Benchmark'!$L$11</f>
        <v>135.71428571428569</v>
      </c>
      <c r="AC7" s="223" t="e">
        <f>AA7*'STEP 1 Benchmark'!$L$11/'STEP 2 Detailed analysis'!$AD$23</f>
        <v>#DIV/0!</v>
      </c>
      <c r="AD7" cm="1">
        <f t="array" ref="AD7">_xlfn.IFS('STEP 1 Benchmark'!$D$3='STEP 1 Benchmark'!$Q$5,'data for graph'!AC7,'STEP 1 Benchmark'!$D$3='STEP 1 Benchmark'!$Q$7,'data for graph'!AB7)</f>
        <v>135.71428571428569</v>
      </c>
      <c r="AE7">
        <f t="shared" si="0"/>
        <v>178.57142857142856</v>
      </c>
    </row>
    <row r="8" spans="1:31" x14ac:dyDescent="0.25">
      <c r="B8">
        <v>3</v>
      </c>
      <c r="C8" s="221">
        <v>11.055555555555555</v>
      </c>
      <c r="D8" s="221">
        <v>19.347222222222225</v>
      </c>
      <c r="E8" s="221">
        <v>8.2916666666666661</v>
      </c>
      <c r="F8" s="221">
        <v>8.3413874191651871</v>
      </c>
      <c r="G8" s="221">
        <v>2.6849206349206431</v>
      </c>
      <c r="H8" s="221">
        <v>49.720752498530274</v>
      </c>
      <c r="J8" s="222" t="s">
        <v>524</v>
      </c>
      <c r="K8" s="220">
        <v>185.55555555555554</v>
      </c>
      <c r="L8" s="223">
        <f>K8*'STEP 1 Benchmark'!$L$11</f>
        <v>79.523809523809518</v>
      </c>
      <c r="M8" s="223" t="e">
        <f>K8*'STEP 1 Benchmark'!$L$11/'STEP 2 Detailed analysis'!$AD$23</f>
        <v>#DIV/0!</v>
      </c>
      <c r="N8" cm="1">
        <f t="array" ref="N8">_xlfn.IFS('STEP 1 Benchmark'!$D$3='STEP 1 Benchmark'!$Q$5,'data for graph'!M8,'STEP 1 Benchmark'!$D$3='STEP 1 Benchmark'!$Q$7,'data for graph'!L8)</f>
        <v>79.523809523809518</v>
      </c>
      <c r="P8" s="409"/>
      <c r="Q8" s="220">
        <v>263.15789473684208</v>
      </c>
      <c r="R8" s="223">
        <f>Q8*'STEP 1 Benchmark'!$L$11</f>
        <v>112.78195488721803</v>
      </c>
      <c r="S8" s="223" t="e">
        <f>Q8*'STEP 1 Benchmark'!$L$11/'STEP 2 Detailed analysis'!$AD$23</f>
        <v>#DIV/0!</v>
      </c>
      <c r="T8" cm="1">
        <f t="array" ref="T8">_xlfn.IFS('STEP 1 Benchmark'!$D$3='STEP 1 Benchmark'!$Q$5,'data for graph'!S8,'STEP 1 Benchmark'!$D$3='STEP 1 Benchmark'!$Q$7,'data for graph'!R8)</f>
        <v>112.78195488721803</v>
      </c>
      <c r="V8" t="s">
        <v>523</v>
      </c>
      <c r="W8">
        <v>17.078687402190923</v>
      </c>
      <c r="X8" s="223">
        <f>W8*'STEP 1 Benchmark'!$L$11</f>
        <v>7.3194374580818238</v>
      </c>
      <c r="Y8" s="223" t="e">
        <f>W8*'STEP 1 Benchmark'!$L$11/'STEP 2 Detailed analysis'!$AD$23</f>
        <v>#DIV/0!</v>
      </c>
      <c r="Z8" cm="1">
        <f t="array" ref="Z8">_xlfn.IFS('STEP 1 Benchmark'!$D$3='STEP 1 Benchmark'!$Q$5,'data for graph'!Y8,'STEP 1 Benchmark'!$D$3='STEP 1 Benchmark'!$Q$7,'data for graph'!X8)</f>
        <v>7.3194374580818238</v>
      </c>
      <c r="AA8">
        <v>469.03242370892019</v>
      </c>
      <c r="AB8" s="223">
        <f>AA8*'STEP 1 Benchmark'!$L$11</f>
        <v>201.01389587525151</v>
      </c>
      <c r="AC8" s="223" t="e">
        <f>AA8*'STEP 1 Benchmark'!$L$11/'STEP 2 Detailed analysis'!$AD$23</f>
        <v>#DIV/0!</v>
      </c>
      <c r="AD8" cm="1">
        <f t="array" ref="AD8">_xlfn.IFS('STEP 1 Benchmark'!$D$3='STEP 1 Benchmark'!$Q$5,'data for graph'!AC8,'STEP 1 Benchmark'!$D$3='STEP 1 Benchmark'!$Q$7,'data for graph'!AB8)</f>
        <v>201.01389587525151</v>
      </c>
      <c r="AE8">
        <f t="shared" si="0"/>
        <v>208.33333333333334</v>
      </c>
    </row>
    <row r="9" spans="1:31" x14ac:dyDescent="0.25">
      <c r="B9">
        <v>4</v>
      </c>
      <c r="C9" s="221">
        <v>6.9444444444444455</v>
      </c>
      <c r="D9" s="221">
        <v>10.416666666666666</v>
      </c>
      <c r="E9" s="221">
        <v>17.361111111111111</v>
      </c>
      <c r="F9" s="221">
        <v>10.416666666666666</v>
      </c>
      <c r="G9" s="221">
        <v>5.0154320987654328</v>
      </c>
      <c r="H9" s="221">
        <v>50.154320987654316</v>
      </c>
      <c r="J9" s="222" t="s">
        <v>527</v>
      </c>
      <c r="K9" s="220">
        <v>191.57088122605364</v>
      </c>
      <c r="L9" s="223">
        <f>K9*'STEP 1 Benchmark'!$L$11</f>
        <v>82.101806239737272</v>
      </c>
      <c r="M9" s="223" t="e">
        <f>K9*'STEP 1 Benchmark'!$L$11/'STEP 2 Detailed analysis'!$AD$23</f>
        <v>#DIV/0!</v>
      </c>
      <c r="N9" cm="1">
        <f t="array" ref="N9">_xlfn.IFS('STEP 1 Benchmark'!$D$3='STEP 1 Benchmark'!$Q$5,'data for graph'!M9,'STEP 1 Benchmark'!$D$3='STEP 1 Benchmark'!$Q$7,'data for graph'!L9)</f>
        <v>82.101806239737272</v>
      </c>
      <c r="P9" s="409"/>
      <c r="Q9" s="220">
        <v>333.33333333333331</v>
      </c>
      <c r="R9" s="223">
        <f>Q9*'STEP 1 Benchmark'!$L$11</f>
        <v>142.85714285714283</v>
      </c>
      <c r="S9" s="223" t="e">
        <f>Q9*'STEP 1 Benchmark'!$L$11/'STEP 2 Detailed analysis'!$AD$23</f>
        <v>#DIV/0!</v>
      </c>
      <c r="T9" cm="1">
        <f t="array" ref="T9">_xlfn.IFS('STEP 1 Benchmark'!$D$3='STEP 1 Benchmark'!$Q$5,'data for graph'!S9,'STEP 1 Benchmark'!$D$3='STEP 1 Benchmark'!$Q$7,'data for graph'!R9)</f>
        <v>142.85714285714283</v>
      </c>
      <c r="U9" t="s">
        <v>528</v>
      </c>
      <c r="V9" t="s">
        <v>523</v>
      </c>
      <c r="W9">
        <v>27.777777777777775</v>
      </c>
      <c r="X9" s="223">
        <f>W9*'STEP 1 Benchmark'!$L$11</f>
        <v>11.904761904761903</v>
      </c>
      <c r="Y9" s="223" t="e">
        <f>W9*'STEP 1 Benchmark'!$L$11/'STEP 2 Detailed analysis'!$AD$23</f>
        <v>#DIV/0!</v>
      </c>
      <c r="Z9" cm="1">
        <f t="array" ref="Z9">_xlfn.IFS('STEP 1 Benchmark'!$D$3='STEP 1 Benchmark'!$Q$5,'data for graph'!Y9,'STEP 1 Benchmark'!$D$3='STEP 1 Benchmark'!$Q$7,'data for graph'!X9)</f>
        <v>11.904761904761903</v>
      </c>
      <c r="AA9">
        <v>218.07675996607298</v>
      </c>
      <c r="AB9" s="223">
        <f>AA9*'STEP 1 Benchmark'!$L$11</f>
        <v>93.46146855688842</v>
      </c>
      <c r="AC9" s="223" t="e">
        <f>AA9*'STEP 1 Benchmark'!$L$11/'STEP 2 Detailed analysis'!$AD$23</f>
        <v>#DIV/0!</v>
      </c>
      <c r="AD9" cm="1">
        <f t="array" ref="AD9">_xlfn.IFS('STEP 1 Benchmark'!$D$3='STEP 1 Benchmark'!$Q$5,'data for graph'!AC9,'STEP 1 Benchmark'!$D$3='STEP 1 Benchmark'!$Q$7,'data for graph'!AB9)</f>
        <v>93.46146855688842</v>
      </c>
      <c r="AE9">
        <f t="shared" si="0"/>
        <v>105.36623046165032</v>
      </c>
    </row>
    <row r="10" spans="1:31" x14ac:dyDescent="0.25">
      <c r="B10">
        <v>5</v>
      </c>
      <c r="C10" s="221">
        <v>0.34319444444444452</v>
      </c>
      <c r="D10" s="221">
        <v>16.610611111111112</v>
      </c>
      <c r="E10" s="221">
        <v>14.414166666666667</v>
      </c>
      <c r="F10" s="221">
        <v>17.438993426632742</v>
      </c>
      <c r="G10" s="221">
        <v>5.4229961832061084</v>
      </c>
      <c r="H10" s="221">
        <v>54.229961832061079</v>
      </c>
      <c r="J10" s="222" t="s">
        <v>524</v>
      </c>
      <c r="K10" s="220">
        <v>199.39536100836028</v>
      </c>
      <c r="L10" s="223">
        <f>K10*'STEP 1 Benchmark'!$L$11</f>
        <v>85.455154717868695</v>
      </c>
      <c r="M10" s="223" t="e">
        <f>K10*'STEP 1 Benchmark'!$L$11/'STEP 2 Detailed analysis'!$AD$23</f>
        <v>#DIV/0!</v>
      </c>
      <c r="N10" cm="1">
        <f t="array" ref="N10">_xlfn.IFS('STEP 1 Benchmark'!$D$3='STEP 1 Benchmark'!$Q$5,'data for graph'!M10,'STEP 1 Benchmark'!$D$3='STEP 1 Benchmark'!$Q$7,'data for graph'!L10)</f>
        <v>85.455154717868695</v>
      </c>
      <c r="P10" s="409"/>
      <c r="Q10" s="220">
        <v>358.1560283687943</v>
      </c>
      <c r="R10" s="223">
        <f>Q10*'STEP 1 Benchmark'!$L$11</f>
        <v>153.49544072948325</v>
      </c>
      <c r="S10" s="223" t="e">
        <f>Q10*'STEP 1 Benchmark'!$L$11/'STEP 2 Detailed analysis'!$AD$23</f>
        <v>#DIV/0!</v>
      </c>
      <c r="T10" cm="1">
        <f t="array" ref="T10">_xlfn.IFS('STEP 1 Benchmark'!$D$3='STEP 1 Benchmark'!$Q$5,'data for graph'!S10,'STEP 1 Benchmark'!$D$3='STEP 1 Benchmark'!$Q$7,'data for graph'!R10)</f>
        <v>153.49544072948325</v>
      </c>
      <c r="V10" t="s">
        <v>523</v>
      </c>
      <c r="W10">
        <v>55.555555555555557</v>
      </c>
      <c r="X10" s="223">
        <f>W10*'STEP 1 Benchmark'!$L$11</f>
        <v>23.80952380952381</v>
      </c>
      <c r="Y10" s="223" t="e">
        <f>W10*'STEP 1 Benchmark'!$L$11/'STEP 2 Detailed analysis'!$AD$23</f>
        <v>#DIV/0!</v>
      </c>
      <c r="Z10" cm="1">
        <f t="array" ref="Z10">_xlfn.IFS('STEP 1 Benchmark'!$D$3='STEP 1 Benchmark'!$Q$5,'data for graph'!Y10,'STEP 1 Benchmark'!$D$3='STEP 1 Benchmark'!$Q$7,'data for graph'!X10)</f>
        <v>23.80952380952381</v>
      </c>
      <c r="AA10">
        <v>258.96057347670251</v>
      </c>
      <c r="AB10" s="223">
        <f>AA10*'STEP 1 Benchmark'!$L$11</f>
        <v>110.98310291858678</v>
      </c>
      <c r="AC10" s="223" t="e">
        <f>AA10*'STEP 1 Benchmark'!$L$11/'STEP 2 Detailed analysis'!$AD$23</f>
        <v>#DIV/0!</v>
      </c>
      <c r="AD10" cm="1">
        <f t="array" ref="AD10">_xlfn.IFS('STEP 1 Benchmark'!$D$3='STEP 1 Benchmark'!$Q$5,'data for graph'!AC10,'STEP 1 Benchmark'!$D$3='STEP 1 Benchmark'!$Q$7,'data for graph'!AB10)</f>
        <v>110.98310291858678</v>
      </c>
      <c r="AE10">
        <f t="shared" si="0"/>
        <v>134.79262672811058</v>
      </c>
    </row>
    <row r="11" spans="1:31" x14ac:dyDescent="0.25">
      <c r="B11">
        <v>6</v>
      </c>
      <c r="C11" s="221">
        <v>5.9227777777777773</v>
      </c>
      <c r="D11" s="221">
        <v>8.8841666666666654</v>
      </c>
      <c r="E11" s="221">
        <v>10.576388888888886</v>
      </c>
      <c r="F11" s="221">
        <v>33.125249999999994</v>
      </c>
      <c r="G11" s="221">
        <v>4.949749999999999</v>
      </c>
      <c r="H11" s="221">
        <v>63.458333333333321</v>
      </c>
      <c r="J11" s="222" t="s">
        <v>524</v>
      </c>
      <c r="K11" s="220">
        <v>199.48566941499809</v>
      </c>
      <c r="L11" s="223">
        <f>K11*'STEP 1 Benchmark'!$L$11</f>
        <v>85.493858320713457</v>
      </c>
      <c r="M11" s="223" t="e">
        <f>K11*'STEP 1 Benchmark'!$L$11/'STEP 2 Detailed analysis'!$AD$23</f>
        <v>#DIV/0!</v>
      </c>
      <c r="N11" cm="1">
        <f t="array" ref="N11">_xlfn.IFS('STEP 1 Benchmark'!$D$3='STEP 1 Benchmark'!$Q$5,'data for graph'!M11,'STEP 1 Benchmark'!$D$3='STEP 1 Benchmark'!$Q$7,'data for graph'!L11)</f>
        <v>85.493858320713457</v>
      </c>
      <c r="P11" s="409"/>
      <c r="Q11" s="220">
        <v>367.43092298647855</v>
      </c>
      <c r="R11" s="223">
        <f>Q11*'STEP 1 Benchmark'!$L$11</f>
        <v>157.47039556563365</v>
      </c>
      <c r="S11" s="223" t="e">
        <f>Q11*'STEP 1 Benchmark'!$L$11/'STEP 2 Detailed analysis'!$AD$23</f>
        <v>#DIV/0!</v>
      </c>
      <c r="T11" cm="1">
        <f t="array" ref="T11">_xlfn.IFS('STEP 1 Benchmark'!$D$3='STEP 1 Benchmark'!$Q$5,'data for graph'!S11,'STEP 1 Benchmark'!$D$3='STEP 1 Benchmark'!$Q$7,'data for graph'!R11)</f>
        <v>157.47039556563365</v>
      </c>
      <c r="V11" t="s">
        <v>523</v>
      </c>
      <c r="W11">
        <v>38.888888888888886</v>
      </c>
      <c r="X11" s="223">
        <f>W11*'STEP 1 Benchmark'!$L$11</f>
        <v>16.666666666666664</v>
      </c>
      <c r="Y11" s="223" t="e">
        <f>W11*'STEP 1 Benchmark'!$L$11/'STEP 2 Detailed analysis'!$AD$23</f>
        <v>#DIV/0!</v>
      </c>
      <c r="Z11" cm="1">
        <f t="array" ref="Z11">_xlfn.IFS('STEP 1 Benchmark'!$D$3='STEP 1 Benchmark'!$Q$5,'data for graph'!Y11,'STEP 1 Benchmark'!$D$3='STEP 1 Benchmark'!$Q$7,'data for graph'!X11)</f>
        <v>16.666666666666664</v>
      </c>
      <c r="AA11">
        <v>318.88481888481891</v>
      </c>
      <c r="AB11" s="223">
        <f>AA11*'STEP 1 Benchmark'!$L$11</f>
        <v>136.66492237920809</v>
      </c>
      <c r="AC11" s="223" t="e">
        <f>AA11*'STEP 1 Benchmark'!$L$11/'STEP 2 Detailed analysis'!$AD$23</f>
        <v>#DIV/0!</v>
      </c>
      <c r="AD11" cm="1">
        <f t="array" ref="AD11">_xlfn.IFS('STEP 1 Benchmark'!$D$3='STEP 1 Benchmark'!$Q$5,'data for graph'!AC11,'STEP 1 Benchmark'!$D$3='STEP 1 Benchmark'!$Q$7,'data for graph'!AB11)</f>
        <v>136.66492237920809</v>
      </c>
      <c r="AE11">
        <f t="shared" si="0"/>
        <v>153.33158904587475</v>
      </c>
    </row>
    <row r="12" spans="1:31" x14ac:dyDescent="0.25">
      <c r="B12">
        <v>7</v>
      </c>
      <c r="C12" s="221">
        <v>6.9444444444444429</v>
      </c>
      <c r="D12" s="221">
        <v>18.749999999999996</v>
      </c>
      <c r="E12" s="221">
        <v>17.361111111111111</v>
      </c>
      <c r="F12" s="221">
        <v>17.129629629629637</v>
      </c>
      <c r="G12" s="221">
        <v>6.6872427983539104</v>
      </c>
      <c r="H12" s="221">
        <v>66.872427983539097</v>
      </c>
      <c r="J12" s="222" t="s">
        <v>524</v>
      </c>
      <c r="K12" s="220">
        <v>199.6376811591677</v>
      </c>
      <c r="L12" s="223">
        <f>K12*'STEP 1 Benchmark'!$L$11</f>
        <v>85.559006211071861</v>
      </c>
      <c r="M12" s="223" t="e">
        <f>K12*'STEP 1 Benchmark'!$L$11/'STEP 2 Detailed analysis'!$AD$23</f>
        <v>#DIV/0!</v>
      </c>
      <c r="N12" cm="1">
        <f t="array" ref="N12">_xlfn.IFS('STEP 1 Benchmark'!$D$3='STEP 1 Benchmark'!$Q$5,'data for graph'!M12,'STEP 1 Benchmark'!$D$3='STEP 1 Benchmark'!$Q$7,'data for graph'!L12)</f>
        <v>85.559006211071861</v>
      </c>
      <c r="P12" s="409"/>
      <c r="Q12" s="220">
        <v>411.52263374485591</v>
      </c>
      <c r="R12" s="223">
        <f>Q12*'STEP 1 Benchmark'!$L$11</f>
        <v>176.36684303350967</v>
      </c>
      <c r="S12" s="223" t="e">
        <f>Q12*'STEP 1 Benchmark'!$L$11/'STEP 2 Detailed analysis'!$AD$23</f>
        <v>#DIV/0!</v>
      </c>
      <c r="T12" cm="1">
        <f t="array" ref="T12">_xlfn.IFS('STEP 1 Benchmark'!$D$3='STEP 1 Benchmark'!$Q$5,'data for graph'!S12,'STEP 1 Benchmark'!$D$3='STEP 1 Benchmark'!$Q$7,'data for graph'!R12)</f>
        <v>176.36684303350967</v>
      </c>
      <c r="V12" t="s">
        <v>523</v>
      </c>
      <c r="W12">
        <v>55.55555555555555</v>
      </c>
      <c r="X12" s="223">
        <f>W12*'STEP 1 Benchmark'!$L$11</f>
        <v>23.809523809523807</v>
      </c>
      <c r="Y12" s="223" t="e">
        <f>W12*'STEP 1 Benchmark'!$L$11/'STEP 2 Detailed analysis'!$AD$23</f>
        <v>#DIV/0!</v>
      </c>
      <c r="Z12" cm="1">
        <f t="array" ref="Z12">_xlfn.IFS('STEP 1 Benchmark'!$D$3='STEP 1 Benchmark'!$Q$5,'data for graph'!Y12,'STEP 1 Benchmark'!$D$3='STEP 1 Benchmark'!$Q$7,'data for graph'!X12)</f>
        <v>23.809523809523807</v>
      </c>
      <c r="AA12">
        <v>309.02777777777783</v>
      </c>
      <c r="AB12" s="223">
        <f>AA12*'STEP 1 Benchmark'!$L$11</f>
        <v>132.4404761904762</v>
      </c>
      <c r="AC12" s="223" t="e">
        <f>AA12*'STEP 1 Benchmark'!$L$11/'STEP 2 Detailed analysis'!$AD$23</f>
        <v>#DIV/0!</v>
      </c>
      <c r="AD12" cm="1">
        <f t="array" ref="AD12">_xlfn.IFS('STEP 1 Benchmark'!$D$3='STEP 1 Benchmark'!$Q$5,'data for graph'!AC12,'STEP 1 Benchmark'!$D$3='STEP 1 Benchmark'!$Q$7,'data for graph'!AB12)</f>
        <v>132.4404761904762</v>
      </c>
      <c r="AE12">
        <f t="shared" si="0"/>
        <v>156.25</v>
      </c>
    </row>
    <row r="13" spans="1:31" x14ac:dyDescent="0.25">
      <c r="B13">
        <v>8</v>
      </c>
      <c r="C13" s="221">
        <v>10.277777777777777</v>
      </c>
      <c r="D13" s="221">
        <v>14.902777777777773</v>
      </c>
      <c r="E13" s="221">
        <v>12.84722222222222</v>
      </c>
      <c r="F13" s="221">
        <v>22.675347222222218</v>
      </c>
      <c r="G13" s="221">
        <v>6.7447916666666696</v>
      </c>
      <c r="H13" s="221">
        <v>67.447916666666657</v>
      </c>
      <c r="J13" s="222" t="s">
        <v>527</v>
      </c>
      <c r="K13" s="220">
        <v>200.61728395061729</v>
      </c>
      <c r="L13" s="223">
        <f>K13*'STEP 1 Benchmark'!$L$11</f>
        <v>85.978835978835974</v>
      </c>
      <c r="M13" s="223" t="e">
        <f>K13*'STEP 1 Benchmark'!$L$11/'STEP 2 Detailed analysis'!$AD$23</f>
        <v>#DIV/0!</v>
      </c>
      <c r="N13" cm="1">
        <f t="array" ref="N13">_xlfn.IFS('STEP 1 Benchmark'!$D$3='STEP 1 Benchmark'!$Q$5,'data for graph'!M13,'STEP 1 Benchmark'!$D$3='STEP 1 Benchmark'!$Q$7,'data for graph'!L13)</f>
        <v>85.978835978835974</v>
      </c>
      <c r="P13" s="409" t="s">
        <v>526</v>
      </c>
      <c r="Q13" s="220">
        <v>395.67567567567573</v>
      </c>
      <c r="R13" s="223">
        <f>Q13*'STEP 1 Benchmark'!$L$11</f>
        <v>169.57528957528959</v>
      </c>
      <c r="S13" s="223" t="e">
        <f>Q13*'STEP 1 Benchmark'!$L$11/'STEP 2 Detailed analysis'!$AD$23</f>
        <v>#DIV/0!</v>
      </c>
      <c r="T13" cm="1">
        <f t="array" ref="T13">_xlfn.IFS('STEP 1 Benchmark'!$D$3='STEP 1 Benchmark'!$Q$5,'data for graph'!S13,'STEP 1 Benchmark'!$D$3='STEP 1 Benchmark'!$Q$7,'data for graph'!R13)</f>
        <v>169.57528957528959</v>
      </c>
      <c r="V13" t="s">
        <v>523</v>
      </c>
      <c r="W13">
        <v>55.55555555555555</v>
      </c>
      <c r="X13" s="223">
        <f>W13*'STEP 1 Benchmark'!$L$11</f>
        <v>23.809523809523807</v>
      </c>
      <c r="Y13" s="223" t="e">
        <f>W13*'STEP 1 Benchmark'!$L$11/'STEP 2 Detailed analysis'!$AD$23</f>
        <v>#DIV/0!</v>
      </c>
      <c r="Z13" cm="1">
        <f t="array" ref="Z13">_xlfn.IFS('STEP 1 Benchmark'!$D$3='STEP 1 Benchmark'!$Q$5,'data for graph'!Y13,'STEP 1 Benchmark'!$D$3='STEP 1 Benchmark'!$Q$7,'data for graph'!X13)</f>
        <v>23.809523809523807</v>
      </c>
      <c r="AA13">
        <v>377.77777777777771</v>
      </c>
      <c r="AB13" s="223">
        <f>AA13*'STEP 1 Benchmark'!$L$11</f>
        <v>161.90476190476187</v>
      </c>
      <c r="AC13" s="223" t="e">
        <f>AA13*'STEP 1 Benchmark'!$L$11/'STEP 2 Detailed analysis'!$AD$23</f>
        <v>#DIV/0!</v>
      </c>
      <c r="AD13" cm="1">
        <f t="array" ref="AD13">_xlfn.IFS('STEP 1 Benchmark'!$D$3='STEP 1 Benchmark'!$Q$5,'data for graph'!AC13,'STEP 1 Benchmark'!$D$3='STEP 1 Benchmark'!$Q$7,'data for graph'!AB13)</f>
        <v>161.90476190476187</v>
      </c>
      <c r="AE13">
        <f t="shared" si="0"/>
        <v>185.71428571428567</v>
      </c>
    </row>
    <row r="14" spans="1:31" x14ac:dyDescent="0.25">
      <c r="B14">
        <v>9</v>
      </c>
      <c r="C14" s="221">
        <v>17.361111111111111</v>
      </c>
      <c r="D14" s="221">
        <v>9.7222222222222214</v>
      </c>
      <c r="E14" s="221">
        <v>17.361111111111111</v>
      </c>
      <c r="F14" s="221">
        <v>24.999999999999996</v>
      </c>
      <c r="G14" s="221">
        <v>7.7160493827160499</v>
      </c>
      <c r="H14" s="221">
        <v>77.160493827160494</v>
      </c>
      <c r="J14" s="222" t="s">
        <v>524</v>
      </c>
      <c r="K14" s="220">
        <v>201.66536559979181</v>
      </c>
      <c r="L14" s="223">
        <f>K14*'STEP 1 Benchmark'!$L$11</f>
        <v>86.428013828482207</v>
      </c>
      <c r="M14" s="223" t="e">
        <f>K14*'STEP 1 Benchmark'!$L$11/'STEP 2 Detailed analysis'!$AD$23</f>
        <v>#DIV/0!</v>
      </c>
      <c r="N14" cm="1">
        <f t="array" ref="N14">_xlfn.IFS('STEP 1 Benchmark'!$D$3='STEP 1 Benchmark'!$Q$5,'data for graph'!M14,'STEP 1 Benchmark'!$D$3='STEP 1 Benchmark'!$Q$7,'data for graph'!L14)</f>
        <v>86.428013828482207</v>
      </c>
      <c r="P14" s="409"/>
      <c r="Q14" s="220">
        <v>416.66666666666663</v>
      </c>
      <c r="R14" s="223">
        <f>Q14*'STEP 1 Benchmark'!$L$11</f>
        <v>178.57142857142856</v>
      </c>
      <c r="S14" s="223" t="e">
        <f>Q14*'STEP 1 Benchmark'!$L$11/'STEP 2 Detailed analysis'!$AD$23</f>
        <v>#DIV/0!</v>
      </c>
      <c r="T14" cm="1">
        <f t="array" ref="T14">_xlfn.IFS('STEP 1 Benchmark'!$D$3='STEP 1 Benchmark'!$Q$5,'data for graph'!S14,'STEP 1 Benchmark'!$D$3='STEP 1 Benchmark'!$Q$7,'data for graph'!R14)</f>
        <v>178.57142857142856</v>
      </c>
      <c r="U14" t="s">
        <v>524</v>
      </c>
      <c r="V14" t="s">
        <v>523</v>
      </c>
      <c r="W14">
        <v>18.888888888888886</v>
      </c>
      <c r="X14" s="223">
        <f>W14*'STEP 1 Benchmark'!$L$11</f>
        <v>8.0952380952380931</v>
      </c>
      <c r="Y14" s="223" t="e">
        <f>W14*'STEP 1 Benchmark'!$L$11/'STEP 2 Detailed analysis'!$AD$23</f>
        <v>#DIV/0!</v>
      </c>
      <c r="Z14" cm="1">
        <f t="array" ref="Z14">_xlfn.IFS('STEP 1 Benchmark'!$D$3='STEP 1 Benchmark'!$Q$5,'data for graph'!Y14,'STEP 1 Benchmark'!$D$3='STEP 1 Benchmark'!$Q$7,'data for graph'!X14)</f>
        <v>8.0952380952380931</v>
      </c>
      <c r="AA14">
        <v>104.71533185610187</v>
      </c>
      <c r="AB14" s="223">
        <f>AA14*'STEP 1 Benchmark'!$L$11</f>
        <v>44.877999366900802</v>
      </c>
      <c r="AC14" s="223" t="e">
        <f>AA14*'STEP 1 Benchmark'!$L$11/'STEP 2 Detailed analysis'!$AD$23</f>
        <v>#DIV/0!</v>
      </c>
      <c r="AD14" cm="1">
        <f t="array" ref="AD14">_xlfn.IFS('STEP 1 Benchmark'!$D$3='STEP 1 Benchmark'!$Q$5,'data for graph'!AC14,'STEP 1 Benchmark'!$D$3='STEP 1 Benchmark'!$Q$7,'data for graph'!AB14)</f>
        <v>44.877999366900802</v>
      </c>
      <c r="AE14">
        <f t="shared" si="0"/>
        <v>52.973237462138897</v>
      </c>
    </row>
    <row r="15" spans="1:31" x14ac:dyDescent="0.25">
      <c r="B15">
        <v>10</v>
      </c>
      <c r="C15" s="221">
        <v>9.1666666666666661</v>
      </c>
      <c r="D15" s="221">
        <v>16.041666666666661</v>
      </c>
      <c r="E15" s="221">
        <v>9.1666666666666661</v>
      </c>
      <c r="F15" s="221">
        <v>38.605769230769234</v>
      </c>
      <c r="G15" s="221">
        <v>8.1089743589743613</v>
      </c>
      <c r="H15" s="221">
        <v>81.089743589743591</v>
      </c>
      <c r="J15" s="222" t="s">
        <v>524</v>
      </c>
      <c r="K15" s="220">
        <v>203.53982300884954</v>
      </c>
      <c r="L15" s="223">
        <f>K15*'STEP 1 Benchmark'!$L$11</f>
        <v>87.231352718078369</v>
      </c>
      <c r="M15" s="223" t="e">
        <f>K15*'STEP 1 Benchmark'!$L$11/'STEP 2 Detailed analysis'!$AD$23</f>
        <v>#DIV/0!</v>
      </c>
      <c r="N15" cm="1">
        <f t="array" ref="N15">_xlfn.IFS('STEP 1 Benchmark'!$D$3='STEP 1 Benchmark'!$Q$5,'data for graph'!M15,'STEP 1 Benchmark'!$D$3='STEP 1 Benchmark'!$Q$7,'data for graph'!L15)</f>
        <v>87.231352718078369</v>
      </c>
      <c r="P15" s="409"/>
      <c r="Q15" s="220">
        <v>486.11111111111109</v>
      </c>
      <c r="R15" s="223">
        <f>Q15*'STEP 1 Benchmark'!$L$11</f>
        <v>208.33333333333331</v>
      </c>
      <c r="S15" s="223" t="e">
        <f>Q15*'STEP 1 Benchmark'!$L$11/'STEP 2 Detailed analysis'!$AD$23</f>
        <v>#DIV/0!</v>
      </c>
      <c r="T15" cm="1">
        <f t="array" ref="T15">_xlfn.IFS('STEP 1 Benchmark'!$D$3='STEP 1 Benchmark'!$Q$5,'data for graph'!S15,'STEP 1 Benchmark'!$D$3='STEP 1 Benchmark'!$Q$7,'data for graph'!R15)</f>
        <v>208.33333333333331</v>
      </c>
      <c r="V15" t="s">
        <v>523</v>
      </c>
      <c r="W15">
        <v>18.888888888888886</v>
      </c>
      <c r="X15" s="223">
        <f>W15*'STEP 1 Benchmark'!$L$11</f>
        <v>8.0952380952380931</v>
      </c>
      <c r="Y15" s="223" t="e">
        <f>W15*'STEP 1 Benchmark'!$L$11/'STEP 2 Detailed analysis'!$AD$23</f>
        <v>#DIV/0!</v>
      </c>
      <c r="Z15" cm="1">
        <f t="array" ref="Z15">_xlfn.IFS('STEP 1 Benchmark'!$D$3='STEP 1 Benchmark'!$Q$5,'data for graph'!Y15,'STEP 1 Benchmark'!$D$3='STEP 1 Benchmark'!$Q$7,'data for graph'!X15)</f>
        <v>8.0952380952380931</v>
      </c>
      <c r="AA15">
        <v>145.19323671472324</v>
      </c>
      <c r="AB15" s="223">
        <f>AA15*'STEP 1 Benchmark'!$L$11</f>
        <v>62.225672877738532</v>
      </c>
      <c r="AC15" s="223" t="e">
        <f>AA15*'STEP 1 Benchmark'!$L$11/'STEP 2 Detailed analysis'!$AD$23</f>
        <v>#DIV/0!</v>
      </c>
      <c r="AD15" cm="1">
        <f t="array" ref="AD15">_xlfn.IFS('STEP 1 Benchmark'!$D$3='STEP 1 Benchmark'!$Q$5,'data for graph'!AC15,'STEP 1 Benchmark'!$D$3='STEP 1 Benchmark'!$Q$7,'data for graph'!AB15)</f>
        <v>62.225672877738532</v>
      </c>
      <c r="AE15">
        <f t="shared" si="0"/>
        <v>70.32091097297662</v>
      </c>
    </row>
    <row r="16" spans="1:31" x14ac:dyDescent="0.25">
      <c r="B16">
        <v>11</v>
      </c>
      <c r="C16" s="221">
        <v>6.9444444444444446</v>
      </c>
      <c r="D16" s="221">
        <v>7.6388888888888884</v>
      </c>
      <c r="E16" s="221">
        <v>38.888888888888893</v>
      </c>
      <c r="F16" s="221">
        <v>20.601851851851858</v>
      </c>
      <c r="G16" s="221">
        <v>8.2304526748971139</v>
      </c>
      <c r="H16" s="221">
        <v>82.304526748971199</v>
      </c>
      <c r="J16" s="222" t="s">
        <v>524</v>
      </c>
      <c r="K16" s="220">
        <v>208.72540633019676</v>
      </c>
      <c r="L16" s="223">
        <f>K16*'STEP 1 Benchmark'!$L$11</f>
        <v>89.453745570084322</v>
      </c>
      <c r="M16" s="223" t="e">
        <f>K16*'STEP 1 Benchmark'!$L$11/'STEP 2 Detailed analysis'!$AD$23</f>
        <v>#DIV/0!</v>
      </c>
      <c r="N16" cm="1">
        <f t="array" ref="N16">_xlfn.IFS('STEP 1 Benchmark'!$D$3='STEP 1 Benchmark'!$Q$5,'data for graph'!M16,'STEP 1 Benchmark'!$D$3='STEP 1 Benchmark'!$Q$7,'data for graph'!L16)</f>
        <v>89.453745570084322</v>
      </c>
      <c r="P16" s="409" t="s">
        <v>529</v>
      </c>
      <c r="Q16" s="220">
        <v>267.48971193415639</v>
      </c>
      <c r="R16" s="223">
        <f>Q16*'STEP 1 Benchmark'!$L$11</f>
        <v>114.6384479717813</v>
      </c>
      <c r="S16" s="223" t="e">
        <f>Q16*'STEP 1 Benchmark'!$L$11/'STEP 2 Detailed analysis'!$AD$23</f>
        <v>#DIV/0!</v>
      </c>
      <c r="T16" cm="1">
        <f t="array" ref="T16">_xlfn.IFS('STEP 1 Benchmark'!$D$3='STEP 1 Benchmark'!$Q$5,'data for graph'!S16,'STEP 1 Benchmark'!$D$3='STEP 1 Benchmark'!$Q$7,'data for graph'!R16)</f>
        <v>114.6384479717813</v>
      </c>
      <c r="V16" t="s">
        <v>523</v>
      </c>
      <c r="W16">
        <v>2.7777777777777777</v>
      </c>
      <c r="X16" s="223">
        <f>W16*'STEP 1 Benchmark'!$L$11</f>
        <v>1.1904761904761905</v>
      </c>
      <c r="Y16" s="223" t="e">
        <f>W16*'STEP 1 Benchmark'!$L$11/'STEP 2 Detailed analysis'!$AD$23</f>
        <v>#DIV/0!</v>
      </c>
      <c r="Z16" cm="1">
        <f t="array" ref="Z16">_xlfn.IFS('STEP 1 Benchmark'!$D$3='STEP 1 Benchmark'!$Q$5,'data for graph'!Y16,'STEP 1 Benchmark'!$D$3='STEP 1 Benchmark'!$Q$7,'data for graph'!X16)</f>
        <v>1.1904761904761905</v>
      </c>
      <c r="AA16">
        <v>166.12059877714529</v>
      </c>
      <c r="AB16" s="223">
        <f>AA16*'STEP 1 Benchmark'!$L$11</f>
        <v>71.194542333062259</v>
      </c>
      <c r="AC16" s="223" t="e">
        <f>AA16*'STEP 1 Benchmark'!$L$11/'STEP 2 Detailed analysis'!$AD$23</f>
        <v>#DIV/0!</v>
      </c>
      <c r="AD16" cm="1">
        <f t="array" ref="AD16">_xlfn.IFS('STEP 1 Benchmark'!$D$3='STEP 1 Benchmark'!$Q$5,'data for graph'!AC16,'STEP 1 Benchmark'!$D$3='STEP 1 Benchmark'!$Q$7,'data for graph'!AB16)</f>
        <v>71.194542333062259</v>
      </c>
      <c r="AE16">
        <f t="shared" si="0"/>
        <v>72.385018523538449</v>
      </c>
    </row>
    <row r="17" spans="2:31" x14ac:dyDescent="0.25">
      <c r="B17">
        <v>12</v>
      </c>
      <c r="C17" s="221">
        <v>21.532631230116639</v>
      </c>
      <c r="D17" s="221">
        <v>6.2166790164369008</v>
      </c>
      <c r="E17" s="221">
        <v>15.91793975344644</v>
      </c>
      <c r="F17" s="221">
        <v>34.136684878587211</v>
      </c>
      <c r="G17" s="221">
        <v>4.9662086092715221</v>
      </c>
      <c r="H17" s="221">
        <v>82.770143487858718</v>
      </c>
      <c r="J17" s="222" t="s">
        <v>530</v>
      </c>
      <c r="K17" s="220">
        <v>209.02777777777777</v>
      </c>
      <c r="L17" s="223">
        <f>K17*'STEP 1 Benchmark'!$L$11</f>
        <v>89.583333333333329</v>
      </c>
      <c r="M17" s="223" t="e">
        <f>K17*'STEP 1 Benchmark'!$L$11/'STEP 2 Detailed analysis'!$AD$23</f>
        <v>#DIV/0!</v>
      </c>
      <c r="N17" cm="1">
        <f t="array" ref="N17">_xlfn.IFS('STEP 1 Benchmark'!$D$3='STEP 1 Benchmark'!$Q$5,'data for graph'!M17,'STEP 1 Benchmark'!$D$3='STEP 1 Benchmark'!$Q$7,'data for graph'!L17)</f>
        <v>89.583333333333329</v>
      </c>
      <c r="P17" s="409"/>
      <c r="Q17" s="220">
        <v>308.64197530864197</v>
      </c>
      <c r="R17" s="223">
        <f>Q17*'STEP 1 Benchmark'!$L$11</f>
        <v>132.27513227513228</v>
      </c>
      <c r="S17" s="223" t="e">
        <f>Q17*'STEP 1 Benchmark'!$L$11/'STEP 2 Detailed analysis'!$AD$23</f>
        <v>#DIV/0!</v>
      </c>
      <c r="T17" cm="1">
        <f t="array" ref="T17">_xlfn.IFS('STEP 1 Benchmark'!$D$3='STEP 1 Benchmark'!$Q$5,'data for graph'!S17,'STEP 1 Benchmark'!$D$3='STEP 1 Benchmark'!$Q$7,'data for graph'!R17)</f>
        <v>132.27513227513228</v>
      </c>
      <c r="V17" t="s">
        <v>523</v>
      </c>
      <c r="W17">
        <v>52.737773806533326</v>
      </c>
      <c r="X17" s="223">
        <f>W17*'STEP 1 Benchmark'!$L$11</f>
        <v>22.601903059942853</v>
      </c>
      <c r="Y17" s="223" t="e">
        <f>W17*'STEP 1 Benchmark'!$L$11/'STEP 2 Detailed analysis'!$AD$23</f>
        <v>#DIV/0!</v>
      </c>
      <c r="Z17" cm="1">
        <f t="array" ref="Z17">_xlfn.IFS('STEP 1 Benchmark'!$D$3='STEP 1 Benchmark'!$Q$5,'data for graph'!Y17,'STEP 1 Benchmark'!$D$3='STEP 1 Benchmark'!$Q$7,'data for graph'!X17)</f>
        <v>22.601903059942853</v>
      </c>
      <c r="AA17">
        <v>146.62345436962514</v>
      </c>
      <c r="AB17" s="223">
        <f>AA17*'STEP 1 Benchmark'!$L$11</f>
        <v>62.838623301267916</v>
      </c>
      <c r="AC17" s="223" t="e">
        <f>AA17*'STEP 1 Benchmark'!$L$11/'STEP 2 Detailed analysis'!$AD$23</f>
        <v>#DIV/0!</v>
      </c>
      <c r="AD17" cm="1">
        <f t="array" ref="AD17">_xlfn.IFS('STEP 1 Benchmark'!$D$3='STEP 1 Benchmark'!$Q$5,'data for graph'!AC17,'STEP 1 Benchmark'!$D$3='STEP 1 Benchmark'!$Q$7,'data for graph'!AB17)</f>
        <v>62.838623301267916</v>
      </c>
      <c r="AE17">
        <f t="shared" si="0"/>
        <v>85.440526361210772</v>
      </c>
    </row>
    <row r="18" spans="2:31" x14ac:dyDescent="0.25">
      <c r="B18">
        <v>13</v>
      </c>
      <c r="C18" s="221">
        <v>8.2918739635157532</v>
      </c>
      <c r="D18" s="221">
        <v>26.533996683250411</v>
      </c>
      <c r="E18" s="221">
        <v>20.729684908789384</v>
      </c>
      <c r="F18" s="221">
        <v>19.444444444444443</v>
      </c>
      <c r="G18" s="221">
        <v>8.3333333333333339</v>
      </c>
      <c r="H18" s="221">
        <v>83.333333333333314</v>
      </c>
      <c r="J18" s="222" t="s">
        <v>531</v>
      </c>
      <c r="K18" s="220">
        <v>219.46564885496184</v>
      </c>
      <c r="L18" s="223">
        <f>K18*'STEP 1 Benchmark'!$L$11</f>
        <v>94.056706652126493</v>
      </c>
      <c r="M18" s="223" t="e">
        <f>K18*'STEP 1 Benchmark'!$L$11/'STEP 2 Detailed analysis'!$AD$23</f>
        <v>#DIV/0!</v>
      </c>
      <c r="N18" cm="1">
        <f t="array" ref="N18">_xlfn.IFS('STEP 1 Benchmark'!$D$3='STEP 1 Benchmark'!$Q$5,'data for graph'!M18,'STEP 1 Benchmark'!$D$3='STEP 1 Benchmark'!$Q$7,'data for graph'!L18)</f>
        <v>94.056706652126493</v>
      </c>
      <c r="P18" s="409" t="s">
        <v>532</v>
      </c>
      <c r="Q18" s="220">
        <v>329.2181069958848</v>
      </c>
      <c r="R18" s="223">
        <f>Q18*'STEP 1 Benchmark'!$L$11</f>
        <v>141.09347442680777</v>
      </c>
      <c r="S18" s="223" t="e">
        <f>Q18*'STEP 1 Benchmark'!$L$11/'STEP 2 Detailed analysis'!$AD$23</f>
        <v>#DIV/0!</v>
      </c>
      <c r="T18" cm="1">
        <f t="array" ref="T18">_xlfn.IFS('STEP 1 Benchmark'!$D$3='STEP 1 Benchmark'!$Q$5,'data for graph'!S18,'STEP 1 Benchmark'!$D$3='STEP 1 Benchmark'!$Q$7,'data for graph'!R18)</f>
        <v>141.09347442680777</v>
      </c>
      <c r="V18" t="s">
        <v>523</v>
      </c>
      <c r="W18">
        <v>54.44444444444445</v>
      </c>
      <c r="X18" s="223">
        <f>W18*'STEP 1 Benchmark'!$L$11</f>
        <v>23.333333333333336</v>
      </c>
      <c r="Y18" s="223" t="e">
        <f>W18*'STEP 1 Benchmark'!$L$11/'STEP 2 Detailed analysis'!$AD$23</f>
        <v>#DIV/0!</v>
      </c>
      <c r="Z18" cm="1">
        <f t="array" ref="Z18">_xlfn.IFS('STEP 1 Benchmark'!$D$3='STEP 1 Benchmark'!$Q$5,'data for graph'!Y18,'STEP 1 Benchmark'!$D$3='STEP 1 Benchmark'!$Q$7,'data for graph'!X18)</f>
        <v>23.333333333333336</v>
      </c>
      <c r="AA18">
        <v>146.74789560846472</v>
      </c>
      <c r="AB18" s="223">
        <f>AA18*'STEP 1 Benchmark'!$L$11</f>
        <v>62.891955260770587</v>
      </c>
      <c r="AC18" s="223" t="e">
        <f>AA18*'STEP 1 Benchmark'!$L$11/'STEP 2 Detailed analysis'!$AD$23</f>
        <v>#DIV/0!</v>
      </c>
      <c r="AD18" cm="1">
        <f t="array" ref="AD18">_xlfn.IFS('STEP 1 Benchmark'!$D$3='STEP 1 Benchmark'!$Q$5,'data for graph'!AC18,'STEP 1 Benchmark'!$D$3='STEP 1 Benchmark'!$Q$7,'data for graph'!AB18)</f>
        <v>62.891955260770587</v>
      </c>
      <c r="AE18">
        <f t="shared" si="0"/>
        <v>86.225288594103915</v>
      </c>
    </row>
    <row r="19" spans="2:31" x14ac:dyDescent="0.25">
      <c r="B19">
        <v>14</v>
      </c>
      <c r="C19" s="221">
        <v>10.666666666666668</v>
      </c>
      <c r="D19" s="221">
        <v>11.200000000000001</v>
      </c>
      <c r="E19" s="221">
        <v>16</v>
      </c>
      <c r="F19" s="221">
        <v>37.243357783211081</v>
      </c>
      <c r="G19" s="221">
        <v>8.3455582722086366</v>
      </c>
      <c r="H19" s="221">
        <v>83.45558272208639</v>
      </c>
      <c r="J19" s="222" t="s">
        <v>524</v>
      </c>
      <c r="K19" s="220">
        <v>221.3004484305618</v>
      </c>
      <c r="L19" s="223">
        <f>K19*'STEP 1 Benchmark'!$L$11</f>
        <v>94.843049327383625</v>
      </c>
      <c r="M19" s="223" t="e">
        <f>K19*'STEP 1 Benchmark'!$L$11/'STEP 2 Detailed analysis'!$AD$23</f>
        <v>#DIV/0!</v>
      </c>
      <c r="N19" cm="1">
        <f t="array" ref="N19">_xlfn.IFS('STEP 1 Benchmark'!$D$3='STEP 1 Benchmark'!$Q$5,'data for graph'!M19,'STEP 1 Benchmark'!$D$3='STEP 1 Benchmark'!$Q$7,'data for graph'!L19)</f>
        <v>94.843049327383625</v>
      </c>
      <c r="P19" s="409"/>
      <c r="Q19" s="220">
        <v>410.35353535353534</v>
      </c>
      <c r="R19" s="223">
        <f>Q19*'STEP 1 Benchmark'!$L$11</f>
        <v>175.86580086580085</v>
      </c>
      <c r="S19" s="223" t="e">
        <f>Q19*'STEP 1 Benchmark'!$L$11/'STEP 2 Detailed analysis'!$AD$23</f>
        <v>#DIV/0!</v>
      </c>
      <c r="T19" cm="1">
        <f t="array" ref="T19">_xlfn.IFS('STEP 1 Benchmark'!$D$3='STEP 1 Benchmark'!$Q$5,'data for graph'!S19,'STEP 1 Benchmark'!$D$3='STEP 1 Benchmark'!$Q$7,'data for graph'!R19)</f>
        <v>175.86580086580085</v>
      </c>
      <c r="V19" t="s">
        <v>523</v>
      </c>
      <c r="W19">
        <v>52.806533868014995</v>
      </c>
      <c r="X19" s="223">
        <f>W19*'STEP 1 Benchmark'!$L$11</f>
        <v>22.63137165772071</v>
      </c>
      <c r="Y19" s="223" t="e">
        <f>W19*'STEP 1 Benchmark'!$L$11/'STEP 2 Detailed analysis'!$AD$23</f>
        <v>#DIV/0!</v>
      </c>
      <c r="Z19" cm="1">
        <f t="array" ref="Z19">_xlfn.IFS('STEP 1 Benchmark'!$D$3='STEP 1 Benchmark'!$Q$5,'data for graph'!Y19,'STEP 1 Benchmark'!$D$3='STEP 1 Benchmark'!$Q$7,'data for graph'!X19)</f>
        <v>22.63137165772071</v>
      </c>
      <c r="AA19">
        <v>150.74981940929101</v>
      </c>
      <c r="AB19" s="223">
        <f>AA19*'STEP 1 Benchmark'!$L$11</f>
        <v>64.607065461124719</v>
      </c>
      <c r="AC19" s="223" t="e">
        <f>AA19*'STEP 1 Benchmark'!$L$11/'STEP 2 Detailed analysis'!$AD$23</f>
        <v>#DIV/0!</v>
      </c>
      <c r="AD19" cm="1">
        <f t="array" ref="AD19">_xlfn.IFS('STEP 1 Benchmark'!$D$3='STEP 1 Benchmark'!$Q$5,'data for graph'!AC19,'STEP 1 Benchmark'!$D$3='STEP 1 Benchmark'!$Q$7,'data for graph'!AB19)</f>
        <v>64.607065461124719</v>
      </c>
      <c r="AE19">
        <f t="shared" si="0"/>
        <v>87.238437118845425</v>
      </c>
    </row>
    <row r="20" spans="2:31" x14ac:dyDescent="0.25">
      <c r="B20">
        <v>15</v>
      </c>
      <c r="C20" s="221">
        <v>6.9444444444444446</v>
      </c>
      <c r="D20" s="221">
        <v>13.888888888888889</v>
      </c>
      <c r="E20" s="221">
        <v>39.583333333333329</v>
      </c>
      <c r="F20" s="221">
        <v>14.980158730158731</v>
      </c>
      <c r="G20" s="221">
        <v>8.3774250440917086</v>
      </c>
      <c r="H20" s="221">
        <v>83.7742504409171</v>
      </c>
      <c r="J20" s="222" t="s">
        <v>524</v>
      </c>
      <c r="K20" s="220">
        <v>249.8530276308054</v>
      </c>
      <c r="L20" s="223">
        <f>K20*'STEP 1 Benchmark'!$L$11</f>
        <v>107.07986898463088</v>
      </c>
      <c r="M20" s="223" t="e">
        <f>K20*'STEP 1 Benchmark'!$L$11/'STEP 2 Detailed analysis'!$AD$23</f>
        <v>#DIV/0!</v>
      </c>
      <c r="N20" cm="1">
        <f t="array" ref="N20">_xlfn.IFS('STEP 1 Benchmark'!$D$3='STEP 1 Benchmark'!$Q$5,'data for graph'!M20,'STEP 1 Benchmark'!$D$3='STEP 1 Benchmark'!$Q$7,'data for graph'!L20)</f>
        <v>107.07986898463088</v>
      </c>
      <c r="P20" s="409"/>
      <c r="Q20" s="220">
        <v>418.70915032679733</v>
      </c>
      <c r="R20" s="223">
        <f>Q20*'STEP 1 Benchmark'!$L$11</f>
        <v>179.44677871148457</v>
      </c>
      <c r="S20" s="223" t="e">
        <f>Q20*'STEP 1 Benchmark'!$L$11/'STEP 2 Detailed analysis'!$AD$23</f>
        <v>#DIV/0!</v>
      </c>
      <c r="T20" cm="1">
        <f t="array" ref="T20">_xlfn.IFS('STEP 1 Benchmark'!$D$3='STEP 1 Benchmark'!$Q$5,'data for graph'!S20,'STEP 1 Benchmark'!$D$3='STEP 1 Benchmark'!$Q$7,'data for graph'!R20)</f>
        <v>179.44677871148457</v>
      </c>
      <c r="V20" t="s">
        <v>523</v>
      </c>
      <c r="W20">
        <v>52.763123952389819</v>
      </c>
      <c r="X20" s="223">
        <f>W20*'STEP 1 Benchmark'!$L$11</f>
        <v>22.612767408167063</v>
      </c>
      <c r="Y20" s="223" t="e">
        <f>W20*'STEP 1 Benchmark'!$L$11/'STEP 2 Detailed analysis'!$AD$23</f>
        <v>#DIV/0!</v>
      </c>
      <c r="Z20" cm="1">
        <f t="array" ref="Z20">_xlfn.IFS('STEP 1 Benchmark'!$D$3='STEP 1 Benchmark'!$Q$5,'data for graph'!Y20,'STEP 1 Benchmark'!$D$3='STEP 1 Benchmark'!$Q$7,'data for graph'!X20)</f>
        <v>22.612767408167063</v>
      </c>
      <c r="AA20">
        <v>155.91887246218175</v>
      </c>
      <c r="AB20" s="223">
        <f>AA20*'STEP 1 Benchmark'!$L$11</f>
        <v>66.822373912363602</v>
      </c>
      <c r="AC20" s="223" t="e">
        <f>AA20*'STEP 1 Benchmark'!$L$11/'STEP 2 Detailed analysis'!$AD$23</f>
        <v>#DIV/0!</v>
      </c>
      <c r="AD20" cm="1">
        <f t="array" ref="AD20">_xlfn.IFS('STEP 1 Benchmark'!$D$3='STEP 1 Benchmark'!$Q$5,'data for graph'!AC20,'STEP 1 Benchmark'!$D$3='STEP 1 Benchmark'!$Q$7,'data for graph'!AB20)</f>
        <v>66.822373912363602</v>
      </c>
      <c r="AE20">
        <f t="shared" si="0"/>
        <v>89.435141320530661</v>
      </c>
    </row>
    <row r="21" spans="2:31" x14ac:dyDescent="0.25">
      <c r="B21">
        <v>16</v>
      </c>
      <c r="C21" s="221">
        <v>8.3333333333333321</v>
      </c>
      <c r="D21" s="221">
        <v>9.9999999999999982</v>
      </c>
      <c r="E21" s="221">
        <v>16.666666666666664</v>
      </c>
      <c r="F21" s="221">
        <v>33.817204301075265</v>
      </c>
      <c r="G21" s="221">
        <v>17.204301075268816</v>
      </c>
      <c r="H21" s="221">
        <v>86.021505376344081</v>
      </c>
      <c r="J21" s="222" t="s">
        <v>528</v>
      </c>
      <c r="K21" s="220">
        <v>250.54466230936816</v>
      </c>
      <c r="L21" s="223">
        <f>K21*'STEP 1 Benchmark'!$L$11</f>
        <v>107.37628384687207</v>
      </c>
      <c r="M21" s="223" t="e">
        <f>K21*'STEP 1 Benchmark'!$L$11/'STEP 2 Detailed analysis'!$AD$23</f>
        <v>#DIV/0!</v>
      </c>
      <c r="N21" cm="1">
        <f t="array" ref="N21">_xlfn.IFS('STEP 1 Benchmark'!$D$3='STEP 1 Benchmark'!$Q$5,'data for graph'!M21,'STEP 1 Benchmark'!$D$3='STEP 1 Benchmark'!$Q$7,'data for graph'!L21)</f>
        <v>107.37628384687207</v>
      </c>
      <c r="P21" s="409"/>
      <c r="Q21" s="220">
        <v>543.47826086956513</v>
      </c>
      <c r="R21" s="223">
        <f>Q21*'STEP 1 Benchmark'!$L$11</f>
        <v>232.91925465838506</v>
      </c>
      <c r="S21" s="223" t="e">
        <f>Q21*'STEP 1 Benchmark'!$L$11/'STEP 2 Detailed analysis'!$AD$23</f>
        <v>#DIV/0!</v>
      </c>
      <c r="T21" cm="1">
        <f t="array" ref="T21">_xlfn.IFS('STEP 1 Benchmark'!$D$3='STEP 1 Benchmark'!$Q$5,'data for graph'!S21,'STEP 1 Benchmark'!$D$3='STEP 1 Benchmark'!$Q$7,'data for graph'!R21)</f>
        <v>232.91925465838506</v>
      </c>
      <c r="V21" t="s">
        <v>523</v>
      </c>
      <c r="W21">
        <v>55.55555555555555</v>
      </c>
      <c r="X21" s="223">
        <f>W21*'STEP 1 Benchmark'!$L$11</f>
        <v>23.809523809523807</v>
      </c>
      <c r="Y21" s="223" t="e">
        <f>W21*'STEP 1 Benchmark'!$L$11/'STEP 2 Detailed analysis'!$AD$23</f>
        <v>#DIV/0!</v>
      </c>
      <c r="Z21" cm="1">
        <f t="array" ref="Z21">_xlfn.IFS('STEP 1 Benchmark'!$D$3='STEP 1 Benchmark'!$Q$5,'data for graph'!Y21,'STEP 1 Benchmark'!$D$3='STEP 1 Benchmark'!$Q$7,'data for graph'!X21)</f>
        <v>23.809523809523807</v>
      </c>
      <c r="AA21">
        <v>168.53732447817197</v>
      </c>
      <c r="AB21" s="223">
        <f>AA21*'STEP 1 Benchmark'!$L$11</f>
        <v>72.230281919216552</v>
      </c>
      <c r="AC21" s="223" t="e">
        <f>AA21*'STEP 1 Benchmark'!$L$11/'STEP 2 Detailed analysis'!$AD$23</f>
        <v>#DIV/0!</v>
      </c>
      <c r="AD21" cm="1">
        <f t="array" ref="AD21">_xlfn.IFS('STEP 1 Benchmark'!$D$3='STEP 1 Benchmark'!$Q$5,'data for graph'!AC21,'STEP 1 Benchmark'!$D$3='STEP 1 Benchmark'!$Q$7,'data for graph'!AB21)</f>
        <v>72.230281919216552</v>
      </c>
      <c r="AE21">
        <f t="shared" si="0"/>
        <v>96.039805728740362</v>
      </c>
    </row>
    <row r="22" spans="2:31" x14ac:dyDescent="0.25">
      <c r="B22">
        <v>17</v>
      </c>
      <c r="C22" s="221">
        <v>28.93518518518518</v>
      </c>
      <c r="D22" s="221">
        <v>12.152777777777773</v>
      </c>
      <c r="E22" s="221">
        <v>14.46759259259259</v>
      </c>
      <c r="F22" s="221">
        <v>25.029550827423172</v>
      </c>
      <c r="G22" s="221">
        <v>8.9539007092198606</v>
      </c>
      <c r="H22" s="221">
        <v>89.539007092198588</v>
      </c>
      <c r="J22" s="222" t="s">
        <v>524</v>
      </c>
      <c r="K22" s="220">
        <v>252.52525252525248</v>
      </c>
      <c r="L22" s="223">
        <f>K22*'STEP 1 Benchmark'!$L$11</f>
        <v>108.2251082251082</v>
      </c>
      <c r="M22" s="223" t="e">
        <f>K22*'STEP 1 Benchmark'!$L$11/'STEP 2 Detailed analysis'!$AD$23</f>
        <v>#DIV/0!</v>
      </c>
      <c r="N22" cm="1">
        <f t="array" ref="N22">_xlfn.IFS('STEP 1 Benchmark'!$D$3='STEP 1 Benchmark'!$Q$5,'data for graph'!M22,'STEP 1 Benchmark'!$D$3='STEP 1 Benchmark'!$Q$7,'data for graph'!L22)</f>
        <v>108.2251082251082</v>
      </c>
      <c r="P22" s="409"/>
      <c r="Q22" s="220">
        <v>571.89542483660136</v>
      </c>
      <c r="R22" s="223">
        <f>Q22*'STEP 1 Benchmark'!$L$11</f>
        <v>245.0980392156863</v>
      </c>
      <c r="S22" s="223" t="e">
        <f>Q22*'STEP 1 Benchmark'!$L$11/'STEP 2 Detailed analysis'!$AD$23</f>
        <v>#DIV/0!</v>
      </c>
      <c r="T22" cm="1">
        <f t="array" ref="T22">_xlfn.IFS('STEP 1 Benchmark'!$D$3='STEP 1 Benchmark'!$Q$5,'data for graph'!S22,'STEP 1 Benchmark'!$D$3='STEP 1 Benchmark'!$Q$7,'data for graph'!R22)</f>
        <v>245.0980392156863</v>
      </c>
      <c r="V22" t="s">
        <v>523</v>
      </c>
      <c r="W22">
        <v>52.771906638735139</v>
      </c>
      <c r="X22" s="223">
        <f>W22*'STEP 1 Benchmark'!$L$11</f>
        <v>22.616531416600772</v>
      </c>
      <c r="Y22" s="223" t="e">
        <f>W22*'STEP 1 Benchmark'!$L$11/'STEP 2 Detailed analysis'!$AD$23</f>
        <v>#DIV/0!</v>
      </c>
      <c r="Z22" cm="1">
        <f t="array" ref="Z22">_xlfn.IFS('STEP 1 Benchmark'!$D$3='STEP 1 Benchmark'!$Q$5,'data for graph'!Y22,'STEP 1 Benchmark'!$D$3='STEP 1 Benchmark'!$Q$7,'data for graph'!X22)</f>
        <v>22.616531416600772</v>
      </c>
      <c r="AA22">
        <v>182.7777777777778</v>
      </c>
      <c r="AB22" s="223">
        <f>AA22*'STEP 1 Benchmark'!$L$11</f>
        <v>78.333333333333343</v>
      </c>
      <c r="AC22" s="223" t="e">
        <f>AA22*'STEP 1 Benchmark'!$L$11/'STEP 2 Detailed analysis'!$AD$23</f>
        <v>#DIV/0!</v>
      </c>
      <c r="AD22" cm="1">
        <f t="array" ref="AD22">_xlfn.IFS('STEP 1 Benchmark'!$D$3='STEP 1 Benchmark'!$Q$5,'data for graph'!AC22,'STEP 1 Benchmark'!$D$3='STEP 1 Benchmark'!$Q$7,'data for graph'!AB22)</f>
        <v>78.333333333333343</v>
      </c>
      <c r="AE22">
        <f t="shared" si="0"/>
        <v>100.94986474993411</v>
      </c>
    </row>
    <row r="23" spans="2:31" x14ac:dyDescent="0.25">
      <c r="B23">
        <v>18</v>
      </c>
      <c r="C23" s="221">
        <v>13.888888888888888</v>
      </c>
      <c r="D23" s="221">
        <v>18.749999999999996</v>
      </c>
      <c r="E23" s="221">
        <v>26.388888888888889</v>
      </c>
      <c r="F23" s="221">
        <v>23.644179894179903</v>
      </c>
      <c r="G23" s="221">
        <v>9.1857730746619648</v>
      </c>
      <c r="H23" s="221">
        <v>91.857730746619637</v>
      </c>
      <c r="J23" s="222" t="s">
        <v>525</v>
      </c>
      <c r="K23" s="220">
        <v>263.15789473684208</v>
      </c>
      <c r="L23" s="223">
        <f>K23*'STEP 1 Benchmark'!$L$11</f>
        <v>112.78195488721803</v>
      </c>
      <c r="M23" s="223" t="e">
        <f>K23*'STEP 1 Benchmark'!$L$11/'STEP 2 Detailed analysis'!$AD$23</f>
        <v>#DIV/0!</v>
      </c>
      <c r="N23" cm="1">
        <f t="array" ref="N23">_xlfn.IFS('STEP 1 Benchmark'!$D$3='STEP 1 Benchmark'!$Q$5,'data for graph'!M23,'STEP 1 Benchmark'!$D$3='STEP 1 Benchmark'!$Q$7,'data for graph'!L23)</f>
        <v>112.78195488721803</v>
      </c>
      <c r="P23" s="409"/>
      <c r="Q23" s="220">
        <v>740.74074074074065</v>
      </c>
      <c r="R23" s="223">
        <f>Q23*'STEP 1 Benchmark'!$L$11</f>
        <v>317.46031746031741</v>
      </c>
      <c r="S23" s="223" t="e">
        <f>Q23*'STEP 1 Benchmark'!$L$11/'STEP 2 Detailed analysis'!$AD$23</f>
        <v>#DIV/0!</v>
      </c>
      <c r="T23" cm="1">
        <f t="array" ref="T23">_xlfn.IFS('STEP 1 Benchmark'!$D$3='STEP 1 Benchmark'!$Q$5,'data for graph'!S23,'STEP 1 Benchmark'!$D$3='STEP 1 Benchmark'!$Q$7,'data for graph'!R23)</f>
        <v>317.46031746031741</v>
      </c>
      <c r="V23" t="s">
        <v>523</v>
      </c>
      <c r="W23">
        <v>52.790003599558524</v>
      </c>
      <c r="X23" s="223">
        <f>W23*'STEP 1 Benchmark'!$L$11</f>
        <v>22.624287256953654</v>
      </c>
      <c r="Y23" s="223" t="e">
        <f>W23*'STEP 1 Benchmark'!$L$11/'STEP 2 Detailed analysis'!$AD$23</f>
        <v>#DIV/0!</v>
      </c>
      <c r="Z23" cm="1">
        <f t="array" ref="Z23">_xlfn.IFS('STEP 1 Benchmark'!$D$3='STEP 1 Benchmark'!$Q$5,'data for graph'!Y23,'STEP 1 Benchmark'!$D$3='STEP 1 Benchmark'!$Q$7,'data for graph'!X23)</f>
        <v>22.624287256953654</v>
      </c>
      <c r="AA23">
        <v>182.77647671090293</v>
      </c>
      <c r="AB23" s="223">
        <f>AA23*'STEP 1 Benchmark'!$L$11</f>
        <v>78.332775733244105</v>
      </c>
      <c r="AC23" s="223" t="e">
        <f>AA23*'STEP 1 Benchmark'!$L$11/'STEP 2 Detailed analysis'!$AD$23</f>
        <v>#DIV/0!</v>
      </c>
      <c r="AD23" cm="1">
        <f t="array" ref="AD23">_xlfn.IFS('STEP 1 Benchmark'!$D$3='STEP 1 Benchmark'!$Q$5,'data for graph'!AC23,'STEP 1 Benchmark'!$D$3='STEP 1 Benchmark'!$Q$7,'data for graph'!AB23)</f>
        <v>78.332775733244105</v>
      </c>
      <c r="AE23">
        <f t="shared" si="0"/>
        <v>100.95706299019776</v>
      </c>
    </row>
    <row r="24" spans="2:31" x14ac:dyDescent="0.25">
      <c r="B24">
        <v>19</v>
      </c>
      <c r="C24" s="221">
        <v>10.430000000000003</v>
      </c>
      <c r="D24" s="221">
        <v>19.701111111111114</v>
      </c>
      <c r="E24" s="221">
        <v>28.972222222222225</v>
      </c>
      <c r="F24" s="221">
        <v>23.882025641025638</v>
      </c>
      <c r="G24" s="221">
        <v>12.400111111111112</v>
      </c>
      <c r="H24" s="221">
        <v>95.385470085470089</v>
      </c>
      <c r="J24" s="222" t="s">
        <v>529</v>
      </c>
      <c r="K24" s="220">
        <v>267.48971193415639</v>
      </c>
      <c r="L24" s="223">
        <f>K24*'STEP 1 Benchmark'!$L$11</f>
        <v>114.6384479717813</v>
      </c>
      <c r="M24" s="223" t="e">
        <f>K24*'STEP 1 Benchmark'!$L$11/'STEP 2 Detailed analysis'!$AD$23</f>
        <v>#DIV/0!</v>
      </c>
      <c r="N24" cm="1">
        <f t="array" ref="N24">_xlfn.IFS('STEP 1 Benchmark'!$D$3='STEP 1 Benchmark'!$Q$5,'data for graph'!M24,'STEP 1 Benchmark'!$D$3='STEP 1 Benchmark'!$Q$7,'data for graph'!L24)</f>
        <v>114.6384479717813</v>
      </c>
      <c r="P24" s="409"/>
      <c r="Q24" s="220">
        <v>571.42857142857144</v>
      </c>
      <c r="R24" s="223">
        <f>Q24*'STEP 1 Benchmark'!$L$11</f>
        <v>244.89795918367346</v>
      </c>
      <c r="S24" s="223" t="e">
        <f>Q24*'STEP 1 Benchmark'!$L$11/'STEP 2 Detailed analysis'!$AD$23</f>
        <v>#DIV/0!</v>
      </c>
      <c r="T24" cm="1">
        <f t="array" ref="T24">_xlfn.IFS('STEP 1 Benchmark'!$D$3='STEP 1 Benchmark'!$Q$5,'data for graph'!S24,'STEP 1 Benchmark'!$D$3='STEP 1 Benchmark'!$Q$7,'data for graph'!R24)</f>
        <v>244.89795918367346</v>
      </c>
      <c r="V24" t="s">
        <v>523</v>
      </c>
      <c r="W24">
        <v>54.466974733889685</v>
      </c>
      <c r="X24" s="223">
        <f>W24*'STEP 1 Benchmark'!$L$11</f>
        <v>23.342989171667007</v>
      </c>
      <c r="Y24" s="223" t="e">
        <f>W24*'STEP 1 Benchmark'!$L$11/'STEP 2 Detailed analysis'!$AD$23</f>
        <v>#DIV/0!</v>
      </c>
      <c r="Z24" cm="1">
        <f t="array" ref="Z24">_xlfn.IFS('STEP 1 Benchmark'!$D$3='STEP 1 Benchmark'!$Q$5,'data for graph'!Y24,'STEP 1 Benchmark'!$D$3='STEP 1 Benchmark'!$Q$7,'data for graph'!X24)</f>
        <v>23.342989171667007</v>
      </c>
      <c r="AA24">
        <v>194.29747207524983</v>
      </c>
      <c r="AB24" s="223">
        <f>AA24*'STEP 1 Benchmark'!$L$11</f>
        <v>83.270345175107067</v>
      </c>
      <c r="AC24" s="223" t="e">
        <f>AA24*'STEP 1 Benchmark'!$L$11/'STEP 2 Detailed analysis'!$AD$23</f>
        <v>#DIV/0!</v>
      </c>
      <c r="AD24" cm="1">
        <f t="array" ref="AD24">_xlfn.IFS('STEP 1 Benchmark'!$D$3='STEP 1 Benchmark'!$Q$5,'data for graph'!AC24,'STEP 1 Benchmark'!$D$3='STEP 1 Benchmark'!$Q$7,'data for graph'!AB24)</f>
        <v>83.270345175107067</v>
      </c>
      <c r="AE24">
        <f t="shared" si="0"/>
        <v>106.61333434677408</v>
      </c>
    </row>
    <row r="25" spans="2:31" x14ac:dyDescent="0.25">
      <c r="B25">
        <v>20</v>
      </c>
      <c r="C25" s="221">
        <v>25.180555555555561</v>
      </c>
      <c r="D25" s="221">
        <v>27.494444444444444</v>
      </c>
      <c r="E25" s="221">
        <v>8.8472222222222232</v>
      </c>
      <c r="F25" s="221">
        <v>25.72426426426426</v>
      </c>
      <c r="G25" s="221">
        <v>9.6940540540540656</v>
      </c>
      <c r="H25" s="221">
        <v>96.940540540540553</v>
      </c>
      <c r="J25" s="222" t="s">
        <v>524</v>
      </c>
      <c r="K25" s="220">
        <v>272.90448343079919</v>
      </c>
      <c r="L25" s="223">
        <f>K25*'STEP 1 Benchmark'!$L$11</f>
        <v>116.95906432748536</v>
      </c>
      <c r="M25" s="223" t="e">
        <f>K25*'STEP 1 Benchmark'!$L$11/'STEP 2 Detailed analysis'!$AD$23</f>
        <v>#DIV/0!</v>
      </c>
      <c r="N25" cm="1">
        <f t="array" ref="N25">_xlfn.IFS('STEP 1 Benchmark'!$D$3='STEP 1 Benchmark'!$Q$5,'data for graph'!M25,'STEP 1 Benchmark'!$D$3='STEP 1 Benchmark'!$Q$7,'data for graph'!L25)</f>
        <v>116.95906432748536</v>
      </c>
      <c r="P25" s="409" t="s">
        <v>524</v>
      </c>
      <c r="Q25" s="220">
        <v>149.17692307695236</v>
      </c>
      <c r="R25" s="223">
        <f>Q25*'STEP 1 Benchmark'!$L$11</f>
        <v>63.932967032979583</v>
      </c>
      <c r="S25" s="223" t="e">
        <f>Q25*'STEP 1 Benchmark'!$L$11/'STEP 2 Detailed analysis'!$AD$23</f>
        <v>#DIV/0!</v>
      </c>
      <c r="T25" cm="1">
        <f t="array" ref="T25">_xlfn.IFS('STEP 1 Benchmark'!$D$3='STEP 1 Benchmark'!$Q$5,'data for graph'!S25,'STEP 1 Benchmark'!$D$3='STEP 1 Benchmark'!$Q$7,'data for graph'!R25)</f>
        <v>63.932967032979583</v>
      </c>
      <c r="V25" t="s">
        <v>523</v>
      </c>
      <c r="W25">
        <v>27.777777777777779</v>
      </c>
      <c r="X25" s="223">
        <f>W25*'STEP 1 Benchmark'!$L$11</f>
        <v>11.904761904761905</v>
      </c>
      <c r="Y25" s="223" t="e">
        <f>W25*'STEP 1 Benchmark'!$L$11/'STEP 2 Detailed analysis'!$AD$23</f>
        <v>#DIV/0!</v>
      </c>
      <c r="Z25" cm="1">
        <f t="array" ref="Z25">_xlfn.IFS('STEP 1 Benchmark'!$D$3='STEP 1 Benchmark'!$Q$5,'data for graph'!Y25,'STEP 1 Benchmark'!$D$3='STEP 1 Benchmark'!$Q$7,'data for graph'!X25)</f>
        <v>11.904761904761905</v>
      </c>
      <c r="AA25">
        <v>232.54862756109452</v>
      </c>
      <c r="AB25" s="223">
        <f>AA25*'STEP 1 Benchmark'!$L$11</f>
        <v>99.663697526183356</v>
      </c>
      <c r="AC25" s="223" t="e">
        <f>AA25*'STEP 1 Benchmark'!$L$11/'STEP 2 Detailed analysis'!$AD$23</f>
        <v>#DIV/0!</v>
      </c>
      <c r="AD25" cm="1">
        <f t="array" ref="AD25">_xlfn.IFS('STEP 1 Benchmark'!$D$3='STEP 1 Benchmark'!$Q$5,'data for graph'!AC25,'STEP 1 Benchmark'!$D$3='STEP 1 Benchmark'!$Q$7,'data for graph'!AB25)</f>
        <v>99.663697526183356</v>
      </c>
      <c r="AE25">
        <f t="shared" si="0"/>
        <v>111.56845943094527</v>
      </c>
    </row>
    <row r="26" spans="2:31" x14ac:dyDescent="0.25">
      <c r="B26">
        <v>21</v>
      </c>
      <c r="C26" s="221">
        <v>5.2499999999999991</v>
      </c>
      <c r="D26" s="221">
        <v>27.999999999999996</v>
      </c>
      <c r="E26" s="221">
        <v>6.9999999999999991</v>
      </c>
      <c r="F26" s="221">
        <v>52.562142038946142</v>
      </c>
      <c r="G26" s="221">
        <v>7.4169530355097404</v>
      </c>
      <c r="H26" s="221">
        <v>100.22909507445587</v>
      </c>
      <c r="J26" s="222" t="s">
        <v>524</v>
      </c>
      <c r="K26" s="220">
        <v>272.90448343079919</v>
      </c>
      <c r="L26" s="223">
        <f>K26*'STEP 1 Benchmark'!$L$11</f>
        <v>116.95906432748536</v>
      </c>
      <c r="M26" s="223" t="e">
        <f>K26*'STEP 1 Benchmark'!$L$11/'STEP 2 Detailed analysis'!$AD$23</f>
        <v>#DIV/0!</v>
      </c>
      <c r="N26" cm="1">
        <f t="array" ref="N26">_xlfn.IFS('STEP 1 Benchmark'!$D$3='STEP 1 Benchmark'!$Q$5,'data for graph'!M26,'STEP 1 Benchmark'!$D$3='STEP 1 Benchmark'!$Q$7,'data for graph'!L26)</f>
        <v>116.95906432748536</v>
      </c>
      <c r="P26" s="409"/>
      <c r="Q26" s="220">
        <v>185.00948766603415</v>
      </c>
      <c r="R26" s="223">
        <f>Q26*'STEP 1 Benchmark'!$L$11</f>
        <v>79.289780428300347</v>
      </c>
      <c r="S26" s="223" t="e">
        <f>Q26*'STEP 1 Benchmark'!$L$11/'STEP 2 Detailed analysis'!$AD$23</f>
        <v>#DIV/0!</v>
      </c>
      <c r="T26" cm="1">
        <f t="array" ref="T26">_xlfn.IFS('STEP 1 Benchmark'!$D$3='STEP 1 Benchmark'!$Q$5,'data for graph'!S26,'STEP 1 Benchmark'!$D$3='STEP 1 Benchmark'!$Q$7,'data for graph'!R26)</f>
        <v>79.289780428300347</v>
      </c>
      <c r="V26" t="s">
        <v>523</v>
      </c>
      <c r="W26">
        <v>47.222222222222236</v>
      </c>
      <c r="X26" s="223">
        <f>W26*'STEP 1 Benchmark'!$L$11</f>
        <v>20.238095238095244</v>
      </c>
      <c r="Y26" s="223" t="e">
        <f>W26*'STEP 1 Benchmark'!$L$11/'STEP 2 Detailed analysis'!$AD$23</f>
        <v>#DIV/0!</v>
      </c>
      <c r="Z26" cm="1">
        <f t="array" ref="Z26">_xlfn.IFS('STEP 1 Benchmark'!$D$3='STEP 1 Benchmark'!$Q$5,'data for graph'!Y26,'STEP 1 Benchmark'!$D$3='STEP 1 Benchmark'!$Q$7,'data for graph'!X26)</f>
        <v>20.238095238095244</v>
      </c>
      <c r="AA26">
        <v>220.75041657010991</v>
      </c>
      <c r="AB26" s="223">
        <f>AA26*'STEP 1 Benchmark'!$L$11</f>
        <v>94.607321387189955</v>
      </c>
      <c r="AC26" s="223" t="e">
        <f>AA26*'STEP 1 Benchmark'!$L$11/'STEP 2 Detailed analysis'!$AD$23</f>
        <v>#DIV/0!</v>
      </c>
      <c r="AD26" cm="1">
        <f t="array" ref="AD26">_xlfn.IFS('STEP 1 Benchmark'!$D$3='STEP 1 Benchmark'!$Q$5,'data for graph'!AC26,'STEP 1 Benchmark'!$D$3='STEP 1 Benchmark'!$Q$7,'data for graph'!AB26)</f>
        <v>94.607321387189955</v>
      </c>
      <c r="AE26">
        <f t="shared" si="0"/>
        <v>114.8454166252852</v>
      </c>
    </row>
    <row r="27" spans="2:31" x14ac:dyDescent="0.25">
      <c r="B27">
        <v>22</v>
      </c>
      <c r="C27" s="221">
        <v>6.9444444444444455</v>
      </c>
      <c r="D27" s="221">
        <v>5.5555555555555562</v>
      </c>
      <c r="E27" s="221">
        <v>26.388888888888893</v>
      </c>
      <c r="F27" s="221">
        <v>53.703703703703695</v>
      </c>
      <c r="G27" s="221">
        <v>10.288065843621389</v>
      </c>
      <c r="H27" s="221">
        <v>102.88065843621396</v>
      </c>
      <c r="J27" s="222" t="s">
        <v>524</v>
      </c>
      <c r="K27" s="220">
        <v>275.21739130399959</v>
      </c>
      <c r="L27" s="223">
        <f>K27*'STEP 1 Benchmark'!$L$11</f>
        <v>117.95031055885696</v>
      </c>
      <c r="M27" s="223" t="e">
        <f>K27*'STEP 1 Benchmark'!$L$11/'STEP 2 Detailed analysis'!$AD$23</f>
        <v>#DIV/0!</v>
      </c>
      <c r="N27" cm="1">
        <f t="array" ref="N27">_xlfn.IFS('STEP 1 Benchmark'!$D$3='STEP 1 Benchmark'!$Q$5,'data for graph'!M27,'STEP 1 Benchmark'!$D$3='STEP 1 Benchmark'!$Q$7,'data for graph'!L27)</f>
        <v>117.95031055885696</v>
      </c>
      <c r="P27" s="409"/>
      <c r="Q27" s="220">
        <v>185.55555555555554</v>
      </c>
      <c r="R27" s="223">
        <f>Q27*'STEP 1 Benchmark'!$L$11</f>
        <v>79.523809523809518</v>
      </c>
      <c r="S27" s="223" t="e">
        <f>Q27*'STEP 1 Benchmark'!$L$11/'STEP 2 Detailed analysis'!$AD$23</f>
        <v>#DIV/0!</v>
      </c>
      <c r="T27" cm="1">
        <f t="array" ref="T27">_xlfn.IFS('STEP 1 Benchmark'!$D$3='STEP 1 Benchmark'!$Q$5,'data for graph'!S27,'STEP 1 Benchmark'!$D$3='STEP 1 Benchmark'!$Q$7,'data for graph'!R27)</f>
        <v>79.523809523809518</v>
      </c>
      <c r="V27" t="s">
        <v>523</v>
      </c>
      <c r="W27">
        <v>50.000000000000007</v>
      </c>
      <c r="X27" s="223">
        <f>W27*'STEP 1 Benchmark'!$L$11</f>
        <v>21.428571428571431</v>
      </c>
      <c r="Y27" s="223" t="e">
        <f>W27*'STEP 1 Benchmark'!$L$11/'STEP 2 Detailed analysis'!$AD$23</f>
        <v>#DIV/0!</v>
      </c>
      <c r="Z27" cm="1">
        <f t="array" ref="Z27">_xlfn.IFS('STEP 1 Benchmark'!$D$3='STEP 1 Benchmark'!$Q$5,'data for graph'!Y27,'STEP 1 Benchmark'!$D$3='STEP 1 Benchmark'!$Q$7,'data for graph'!X27)</f>
        <v>21.428571428571431</v>
      </c>
      <c r="AA27">
        <v>276.96749098933549</v>
      </c>
      <c r="AB27" s="223">
        <f>AA27*'STEP 1 Benchmark'!$L$11</f>
        <v>118.70035328114378</v>
      </c>
      <c r="AC27" s="223" t="e">
        <f>AA27*'STEP 1 Benchmark'!$L$11/'STEP 2 Detailed analysis'!$AD$23</f>
        <v>#DIV/0!</v>
      </c>
      <c r="AD27" cm="1">
        <f t="array" ref="AD27">_xlfn.IFS('STEP 1 Benchmark'!$D$3='STEP 1 Benchmark'!$Q$5,'data for graph'!AC27,'STEP 1 Benchmark'!$D$3='STEP 1 Benchmark'!$Q$7,'data for graph'!AB27)</f>
        <v>118.70035328114378</v>
      </c>
      <c r="AE27">
        <f t="shared" si="0"/>
        <v>140.12892470971519</v>
      </c>
    </row>
    <row r="28" spans="2:31" x14ac:dyDescent="0.25">
      <c r="B28">
        <v>23</v>
      </c>
      <c r="C28" s="221">
        <v>25</v>
      </c>
      <c r="D28" s="221">
        <v>25.625</v>
      </c>
      <c r="E28" s="221">
        <v>11.805555555555554</v>
      </c>
      <c r="F28" s="221">
        <v>29.236111111111104</v>
      </c>
      <c r="G28" s="221">
        <v>12.499999999999995</v>
      </c>
      <c r="H28" s="221">
        <v>104.16666666666666</v>
      </c>
      <c r="J28" s="222" t="s">
        <v>524</v>
      </c>
      <c r="K28" s="220">
        <v>279.77084978331663</v>
      </c>
      <c r="L28" s="223">
        <f>K28*'STEP 1 Benchmark'!$L$11</f>
        <v>119.90179276427855</v>
      </c>
      <c r="M28" s="223" t="e">
        <f>K28*'STEP 1 Benchmark'!$L$11/'STEP 2 Detailed analysis'!$AD$23</f>
        <v>#DIV/0!</v>
      </c>
      <c r="N28" cm="1">
        <f t="array" ref="N28">_xlfn.IFS('STEP 1 Benchmark'!$D$3='STEP 1 Benchmark'!$Q$5,'data for graph'!M28,'STEP 1 Benchmark'!$D$3='STEP 1 Benchmark'!$Q$7,'data for graph'!L28)</f>
        <v>119.90179276427855</v>
      </c>
      <c r="P28" s="409"/>
      <c r="Q28" s="220">
        <v>199.39536100836028</v>
      </c>
      <c r="R28" s="223">
        <f>Q28*'STEP 1 Benchmark'!$L$11</f>
        <v>85.455154717868695</v>
      </c>
      <c r="S28" s="223" t="e">
        <f>Q28*'STEP 1 Benchmark'!$L$11/'STEP 2 Detailed analysis'!$AD$23</f>
        <v>#DIV/0!</v>
      </c>
      <c r="T28" cm="1">
        <f t="array" ref="T28">_xlfn.IFS('STEP 1 Benchmark'!$D$3='STEP 1 Benchmark'!$Q$5,'data for graph'!S28,'STEP 1 Benchmark'!$D$3='STEP 1 Benchmark'!$Q$7,'data for graph'!R28)</f>
        <v>85.455154717868695</v>
      </c>
      <c r="V28" t="s">
        <v>523</v>
      </c>
      <c r="W28">
        <v>97.388653234358387</v>
      </c>
      <c r="X28" s="223">
        <f>W28*'STEP 1 Benchmark'!$L$11</f>
        <v>41.737994243296448</v>
      </c>
      <c r="Y28" s="223" t="e">
        <f>W28*'STEP 1 Benchmark'!$L$11/'STEP 2 Detailed analysis'!$AD$23</f>
        <v>#DIV/0!</v>
      </c>
      <c r="Z28" cm="1">
        <f t="array" ref="Z28">_xlfn.IFS('STEP 1 Benchmark'!$D$3='STEP 1 Benchmark'!$Q$5,'data for graph'!Y28,'STEP 1 Benchmark'!$D$3='STEP 1 Benchmark'!$Q$7,'data for graph'!X28)</f>
        <v>41.737994243296448</v>
      </c>
      <c r="AA28">
        <v>307.31922398589063</v>
      </c>
      <c r="AB28" s="223">
        <f>AA28*'STEP 1 Benchmark'!$L$11</f>
        <v>131.70823885109598</v>
      </c>
      <c r="AC28" s="223" t="e">
        <f>AA28*'STEP 1 Benchmark'!$L$11/'STEP 2 Detailed analysis'!$AD$23</f>
        <v>#DIV/0!</v>
      </c>
      <c r="AD28" cm="1">
        <f t="array" ref="AD28">_xlfn.IFS('STEP 1 Benchmark'!$D$3='STEP 1 Benchmark'!$Q$5,'data for graph'!AC28,'STEP 1 Benchmark'!$D$3='STEP 1 Benchmark'!$Q$7,'data for graph'!AB28)</f>
        <v>131.70823885109598</v>
      </c>
      <c r="AE28">
        <f t="shared" si="0"/>
        <v>173.44623309439243</v>
      </c>
    </row>
    <row r="29" spans="2:31" x14ac:dyDescent="0.25">
      <c r="B29">
        <v>24</v>
      </c>
      <c r="C29" s="221">
        <v>3.6719177914710479</v>
      </c>
      <c r="D29" s="221">
        <v>41.883940972222227</v>
      </c>
      <c r="E29" s="221">
        <v>9.1496967918622847</v>
      </c>
      <c r="F29" s="221">
        <v>39.356944444444444</v>
      </c>
      <c r="G29" s="221">
        <v>10.451388888888886</v>
      </c>
      <c r="H29" s="221">
        <v>104.51388888888889</v>
      </c>
      <c r="J29" s="222" t="s">
        <v>524</v>
      </c>
      <c r="K29" s="220">
        <v>285.21825396825403</v>
      </c>
      <c r="L29" s="223">
        <f>K29*'STEP 1 Benchmark'!$L$11</f>
        <v>122.23639455782315</v>
      </c>
      <c r="M29" s="223" t="e">
        <f>K29*'STEP 1 Benchmark'!$L$11/'STEP 2 Detailed analysis'!$AD$23</f>
        <v>#DIV/0!</v>
      </c>
      <c r="N29" cm="1">
        <f t="array" ref="N29">_xlfn.IFS('STEP 1 Benchmark'!$D$3='STEP 1 Benchmark'!$Q$5,'data for graph'!M29,'STEP 1 Benchmark'!$D$3='STEP 1 Benchmark'!$Q$7,'data for graph'!L29)</f>
        <v>122.23639455782315</v>
      </c>
      <c r="P29" s="409"/>
      <c r="Q29" s="220">
        <v>199.48566941499809</v>
      </c>
      <c r="R29" s="223">
        <f>Q29*'STEP 1 Benchmark'!$L$11</f>
        <v>85.493858320713457</v>
      </c>
      <c r="S29" s="223" t="e">
        <f>Q29*'STEP 1 Benchmark'!$L$11/'STEP 2 Detailed analysis'!$AD$23</f>
        <v>#DIV/0!</v>
      </c>
      <c r="T29" cm="1">
        <f t="array" ref="T29">_xlfn.IFS('STEP 1 Benchmark'!$D$3='STEP 1 Benchmark'!$Q$5,'data for graph'!S29,'STEP 1 Benchmark'!$D$3='STEP 1 Benchmark'!$Q$7,'data for graph'!R29)</f>
        <v>85.493858320713457</v>
      </c>
      <c r="V29" t="s">
        <v>523</v>
      </c>
      <c r="W29">
        <v>61.1111111111111</v>
      </c>
      <c r="X29" s="223">
        <f>W29*'STEP 1 Benchmark'!$L$11</f>
        <v>26.190476190476183</v>
      </c>
      <c r="Y29" s="223" t="e">
        <f>W29*'STEP 1 Benchmark'!$L$11/'STEP 2 Detailed analysis'!$AD$23</f>
        <v>#DIV/0!</v>
      </c>
      <c r="Z29" cm="1">
        <f t="array" ref="Z29">_xlfn.IFS('STEP 1 Benchmark'!$D$3='STEP 1 Benchmark'!$Q$5,'data for graph'!Y29,'STEP 1 Benchmark'!$D$3='STEP 1 Benchmark'!$Q$7,'data for graph'!X29)</f>
        <v>26.190476190476183</v>
      </c>
      <c r="AA29">
        <v>407.26495726495727</v>
      </c>
      <c r="AB29" s="223">
        <f>AA29*'STEP 1 Benchmark'!$L$11</f>
        <v>174.54212454212453</v>
      </c>
      <c r="AC29" s="223" t="e">
        <f>AA29*'STEP 1 Benchmark'!$L$11/'STEP 2 Detailed analysis'!$AD$23</f>
        <v>#DIV/0!</v>
      </c>
      <c r="AD29" cm="1">
        <f t="array" ref="AD29">_xlfn.IFS('STEP 1 Benchmark'!$D$3='STEP 1 Benchmark'!$Q$5,'data for graph'!AC29,'STEP 1 Benchmark'!$D$3='STEP 1 Benchmark'!$Q$7,'data for graph'!AB29)</f>
        <v>174.54212454212453</v>
      </c>
      <c r="AE29">
        <f t="shared" si="0"/>
        <v>200.7326007326007</v>
      </c>
    </row>
    <row r="30" spans="2:31" x14ac:dyDescent="0.25">
      <c r="B30">
        <v>25</v>
      </c>
      <c r="C30" s="221">
        <v>3.0027777777777778</v>
      </c>
      <c r="D30" s="221">
        <v>9.6088888888888899</v>
      </c>
      <c r="E30" s="221">
        <v>33.030555555555559</v>
      </c>
      <c r="F30" s="221">
        <v>58.597063492063484</v>
      </c>
      <c r="G30" s="221">
        <v>11.582142857142854</v>
      </c>
      <c r="H30" s="221">
        <v>115.82142857142857</v>
      </c>
      <c r="J30" s="222" t="s">
        <v>528</v>
      </c>
      <c r="K30" s="220">
        <v>286.73835125448028</v>
      </c>
      <c r="L30" s="223">
        <f>K30*'STEP 1 Benchmark'!$L$11</f>
        <v>122.88786482334868</v>
      </c>
      <c r="M30" s="223" t="e">
        <f>K30*'STEP 1 Benchmark'!$L$11/'STEP 2 Detailed analysis'!$AD$23</f>
        <v>#DIV/0!</v>
      </c>
      <c r="N30" cm="1">
        <f t="array" ref="N30">_xlfn.IFS('STEP 1 Benchmark'!$D$3='STEP 1 Benchmark'!$Q$5,'data for graph'!M30,'STEP 1 Benchmark'!$D$3='STEP 1 Benchmark'!$Q$7,'data for graph'!L30)</f>
        <v>122.88786482334868</v>
      </c>
      <c r="P30" s="409"/>
      <c r="Q30" s="220">
        <v>199.6376811591677</v>
      </c>
      <c r="R30" s="223">
        <f>Q30*'STEP 1 Benchmark'!$L$11</f>
        <v>85.559006211071861</v>
      </c>
      <c r="S30" s="223" t="e">
        <f>Q30*'STEP 1 Benchmark'!$L$11/'STEP 2 Detailed analysis'!$AD$23</f>
        <v>#DIV/0!</v>
      </c>
      <c r="T30" cm="1">
        <f t="array" ref="T30">_xlfn.IFS('STEP 1 Benchmark'!$D$3='STEP 1 Benchmark'!$Q$5,'data for graph'!S30,'STEP 1 Benchmark'!$D$3='STEP 1 Benchmark'!$Q$7,'data for graph'!R30)</f>
        <v>85.559006211071861</v>
      </c>
      <c r="W30">
        <v>44.461591220850472</v>
      </c>
      <c r="X30" s="223">
        <f>W30*'STEP 1 Benchmark'!$L$11</f>
        <v>19.054967666078774</v>
      </c>
      <c r="Y30" s="223" t="e">
        <f>W30*'STEP 1 Benchmark'!$L$11/'STEP 2 Detailed analysis'!$AD$23</f>
        <v>#DIV/0!</v>
      </c>
      <c r="Z30" cm="1">
        <f t="array" ref="Z30">_xlfn.IFS('STEP 1 Benchmark'!$D$3='STEP 1 Benchmark'!$Q$5,'data for graph'!Y30,'STEP 1 Benchmark'!$D$3='STEP 1 Benchmark'!$Q$7,'data for graph'!X30)</f>
        <v>19.054967666078774</v>
      </c>
      <c r="AA30">
        <v>435.89743589743591</v>
      </c>
      <c r="AB30" s="223">
        <f>AA30*'STEP 1 Benchmark'!$L$11</f>
        <v>186.8131868131868</v>
      </c>
      <c r="AC30" s="223" t="e">
        <f>AA30*'STEP 1 Benchmark'!$L$11/'STEP 2 Detailed analysis'!$AD$23</f>
        <v>#DIV/0!</v>
      </c>
      <c r="AD30" cm="1">
        <f t="array" ref="AD30">_xlfn.IFS('STEP 1 Benchmark'!$D$3='STEP 1 Benchmark'!$Q$5,'data for graph'!AC30,'STEP 1 Benchmark'!$D$3='STEP 1 Benchmark'!$Q$7,'data for graph'!AB30)</f>
        <v>186.8131868131868</v>
      </c>
      <c r="AE30">
        <f t="shared" si="0"/>
        <v>205.86815447926557</v>
      </c>
    </row>
    <row r="31" spans="2:31" x14ac:dyDescent="0.25">
      <c r="B31">
        <v>26</v>
      </c>
      <c r="C31" s="221">
        <v>6.9444444444444455</v>
      </c>
      <c r="D31" s="221">
        <v>22.222222222222225</v>
      </c>
      <c r="E31" s="221">
        <v>34.722222222222221</v>
      </c>
      <c r="F31" s="221">
        <v>42.757936507936506</v>
      </c>
      <c r="G31" s="221">
        <v>11.849647266313935</v>
      </c>
      <c r="H31" s="221">
        <v>118.49647266313933</v>
      </c>
      <c r="J31" s="222" t="s">
        <v>529</v>
      </c>
      <c r="K31" s="220">
        <v>308.64197530864197</v>
      </c>
      <c r="L31" s="223">
        <f>K31*'STEP 1 Benchmark'!$L$11</f>
        <v>132.27513227513228</v>
      </c>
      <c r="M31" s="223" t="e">
        <f>K31*'STEP 1 Benchmark'!$L$11/'STEP 2 Detailed analysis'!$AD$23</f>
        <v>#DIV/0!</v>
      </c>
      <c r="N31" cm="1">
        <f t="array" ref="N31">_xlfn.IFS('STEP 1 Benchmark'!$D$3='STEP 1 Benchmark'!$Q$5,'data for graph'!M31,'STEP 1 Benchmark'!$D$3='STEP 1 Benchmark'!$Q$7,'data for graph'!L31)</f>
        <v>132.27513227513228</v>
      </c>
      <c r="P31" s="409"/>
      <c r="Q31" s="220">
        <v>201.66536559979181</v>
      </c>
      <c r="R31" s="223">
        <f>Q31*'STEP 1 Benchmark'!$L$11</f>
        <v>86.428013828482207</v>
      </c>
      <c r="S31" s="223" t="e">
        <f>Q31*'STEP 1 Benchmark'!$L$11/'STEP 2 Detailed analysis'!$AD$23</f>
        <v>#DIV/0!</v>
      </c>
      <c r="T31" cm="1">
        <f t="array" ref="T31">_xlfn.IFS('STEP 1 Benchmark'!$D$3='STEP 1 Benchmark'!$Q$5,'data for graph'!S31,'STEP 1 Benchmark'!$D$3='STEP 1 Benchmark'!$Q$7,'data for graph'!R31)</f>
        <v>86.428013828482207</v>
      </c>
      <c r="U31" t="s">
        <v>533</v>
      </c>
      <c r="V31" t="s">
        <v>523</v>
      </c>
      <c r="W31">
        <v>24.999999999999996</v>
      </c>
      <c r="X31" s="223">
        <f>W31*'STEP 1 Benchmark'!$L$11</f>
        <v>10.714285714285712</v>
      </c>
      <c r="Y31" s="223" t="e">
        <f>W31*'STEP 1 Benchmark'!$L$11/'STEP 2 Detailed analysis'!$AD$23</f>
        <v>#DIV/0!</v>
      </c>
      <c r="Z31" cm="1">
        <f t="array" ref="Z31">_xlfn.IFS('STEP 1 Benchmark'!$D$3='STEP 1 Benchmark'!$Q$5,'data for graph'!Y31,'STEP 1 Benchmark'!$D$3='STEP 1 Benchmark'!$Q$7,'data for graph'!X31)</f>
        <v>10.714285714285712</v>
      </c>
      <c r="AA31">
        <v>418.96135265700485</v>
      </c>
      <c r="AB31" s="223">
        <f>AA31*'STEP 1 Benchmark'!$L$11</f>
        <v>179.55486542443063</v>
      </c>
      <c r="AC31" s="223" t="e">
        <f>AA31*'STEP 1 Benchmark'!$L$11/'STEP 2 Detailed analysis'!$AD$23</f>
        <v>#DIV/0!</v>
      </c>
      <c r="AD31" cm="1">
        <f t="array" ref="AD31">_xlfn.IFS('STEP 1 Benchmark'!$D$3='STEP 1 Benchmark'!$Q$5,'data for graph'!AC31,'STEP 1 Benchmark'!$D$3='STEP 1 Benchmark'!$Q$7,'data for graph'!AB31)</f>
        <v>179.55486542443063</v>
      </c>
      <c r="AE31">
        <f t="shared" si="0"/>
        <v>190.26915113871635</v>
      </c>
    </row>
    <row r="32" spans="2:31" x14ac:dyDescent="0.25">
      <c r="B32">
        <v>27</v>
      </c>
      <c r="C32" s="221">
        <v>10.416666666666664</v>
      </c>
      <c r="D32" s="221">
        <v>16.666666666666668</v>
      </c>
      <c r="E32" s="221">
        <v>38.888888888888886</v>
      </c>
      <c r="F32" s="221">
        <v>46.207264957264961</v>
      </c>
      <c r="G32" s="221">
        <v>12.464387464387457</v>
      </c>
      <c r="H32" s="221">
        <v>124.64387464387464</v>
      </c>
      <c r="J32" s="222" t="s">
        <v>532</v>
      </c>
      <c r="K32" s="220">
        <v>329.2181069958848</v>
      </c>
      <c r="L32" s="223">
        <f>K32*'STEP 1 Benchmark'!$L$11</f>
        <v>141.09347442680777</v>
      </c>
      <c r="M32" s="223" t="e">
        <f>K32*'STEP 1 Benchmark'!$L$11/'STEP 2 Detailed analysis'!$AD$23</f>
        <v>#DIV/0!</v>
      </c>
      <c r="N32" cm="1">
        <f t="array" ref="N32">_xlfn.IFS('STEP 1 Benchmark'!$D$3='STEP 1 Benchmark'!$Q$5,'data for graph'!M32,'STEP 1 Benchmark'!$D$3='STEP 1 Benchmark'!$Q$7,'data for graph'!L32)</f>
        <v>141.09347442680777</v>
      </c>
      <c r="P32" s="409"/>
      <c r="Q32" s="220">
        <v>203.53982300884954</v>
      </c>
      <c r="R32" s="223">
        <f>Q32*'STEP 1 Benchmark'!$L$11</f>
        <v>87.231352718078369</v>
      </c>
      <c r="S32" s="223" t="e">
        <f>Q32*'STEP 1 Benchmark'!$L$11/'STEP 2 Detailed analysis'!$AD$23</f>
        <v>#DIV/0!</v>
      </c>
      <c r="T32" cm="1">
        <f t="array" ref="T32">_xlfn.IFS('STEP 1 Benchmark'!$D$3='STEP 1 Benchmark'!$Q$5,'data for graph'!S32,'STEP 1 Benchmark'!$D$3='STEP 1 Benchmark'!$Q$7,'data for graph'!R32)</f>
        <v>87.231352718078369</v>
      </c>
      <c r="U32" t="s">
        <v>534</v>
      </c>
      <c r="W32">
        <v>55.555555555555571</v>
      </c>
      <c r="X32" s="223">
        <f>W32*'STEP 1 Benchmark'!$L$11</f>
        <v>23.809523809523814</v>
      </c>
      <c r="Y32" s="223" t="e">
        <f>W32*'STEP 1 Benchmark'!$L$11/'STEP 2 Detailed analysis'!$AD$23</f>
        <v>#DIV/0!</v>
      </c>
      <c r="Z32" cm="1">
        <f t="array" ref="Z32">_xlfn.IFS('STEP 1 Benchmark'!$D$3='STEP 1 Benchmark'!$Q$5,'data for graph'!Y32,'STEP 1 Benchmark'!$D$3='STEP 1 Benchmark'!$Q$7,'data for graph'!X32)</f>
        <v>23.809523809523814</v>
      </c>
      <c r="AA32">
        <v>301.44032921810702</v>
      </c>
      <c r="AB32" s="223">
        <f>AA32*'STEP 1 Benchmark'!$L$11</f>
        <v>129.18871252204585</v>
      </c>
      <c r="AC32" s="223" t="e">
        <f>AA32*'STEP 1 Benchmark'!$L$11/'STEP 2 Detailed analysis'!$AD$23</f>
        <v>#DIV/0!</v>
      </c>
      <c r="AD32" cm="1">
        <f t="array" ref="AD32">_xlfn.IFS('STEP 1 Benchmark'!$D$3='STEP 1 Benchmark'!$Q$5,'data for graph'!AC32,'STEP 1 Benchmark'!$D$3='STEP 1 Benchmark'!$Q$7,'data for graph'!AB32)</f>
        <v>129.18871252204585</v>
      </c>
      <c r="AE32">
        <f t="shared" si="0"/>
        <v>152.99823633156967</v>
      </c>
    </row>
    <row r="33" spans="2:31" x14ac:dyDescent="0.25">
      <c r="B33">
        <v>28</v>
      </c>
      <c r="C33" s="221">
        <v>5.3999999999999995</v>
      </c>
      <c r="D33" s="221">
        <v>17.549999999999997</v>
      </c>
      <c r="E33" s="221">
        <v>26.999999999999996</v>
      </c>
      <c r="F33" s="221">
        <v>68.266216216216208</v>
      </c>
      <c r="G33" s="221">
        <v>13.135135135135139</v>
      </c>
      <c r="H33" s="221">
        <v>131.35135135135133</v>
      </c>
      <c r="J33" s="222" t="s">
        <v>527</v>
      </c>
      <c r="K33" s="220">
        <v>333.33333333333331</v>
      </c>
      <c r="L33" s="223">
        <f>K33*'STEP 1 Benchmark'!$L$11</f>
        <v>142.85714285714283</v>
      </c>
      <c r="M33" s="223" t="e">
        <f>K33*'STEP 1 Benchmark'!$L$11/'STEP 2 Detailed analysis'!$AD$23</f>
        <v>#DIV/0!</v>
      </c>
      <c r="N33" cm="1">
        <f t="array" ref="N33">_xlfn.IFS('STEP 1 Benchmark'!$D$3='STEP 1 Benchmark'!$Q$5,'data for graph'!M33,'STEP 1 Benchmark'!$D$3='STEP 1 Benchmark'!$Q$7,'data for graph'!L33)</f>
        <v>142.85714285714283</v>
      </c>
      <c r="P33" s="409"/>
      <c r="Q33" s="220">
        <v>208.72540633019676</v>
      </c>
      <c r="R33" s="223">
        <f>Q33*'STEP 1 Benchmark'!$L$11</f>
        <v>89.453745570084322</v>
      </c>
      <c r="S33" s="223" t="e">
        <f>Q33*'STEP 1 Benchmark'!$L$11/'STEP 2 Detailed analysis'!$AD$23</f>
        <v>#DIV/0!</v>
      </c>
      <c r="T33" cm="1">
        <f t="array" ref="T33">_xlfn.IFS('STEP 1 Benchmark'!$D$3='STEP 1 Benchmark'!$Q$5,'data for graph'!S33,'STEP 1 Benchmark'!$D$3='STEP 1 Benchmark'!$Q$7,'data for graph'!R33)</f>
        <v>89.453745570084322</v>
      </c>
      <c r="V33" t="s">
        <v>523</v>
      </c>
      <c r="W33">
        <v>27.777777777777782</v>
      </c>
      <c r="X33" s="223">
        <f>W33*'STEP 1 Benchmark'!$L$11</f>
        <v>11.904761904761905</v>
      </c>
      <c r="Y33" s="223" t="e">
        <f>W33*'STEP 1 Benchmark'!$L$11/'STEP 2 Detailed analysis'!$AD$23</f>
        <v>#DIV/0!</v>
      </c>
      <c r="Z33" cm="1">
        <f t="array" ref="Z33">_xlfn.IFS('STEP 1 Benchmark'!$D$3='STEP 1 Benchmark'!$Q$5,'data for graph'!Y33,'STEP 1 Benchmark'!$D$3='STEP 1 Benchmark'!$Q$7,'data for graph'!X33)</f>
        <v>11.904761904761905</v>
      </c>
      <c r="AA33">
        <v>349.24242424242419</v>
      </c>
      <c r="AB33" s="223">
        <f>AA33*'STEP 1 Benchmark'!$L$11</f>
        <v>149.67532467532465</v>
      </c>
      <c r="AC33" s="223" t="e">
        <f>AA33*'STEP 1 Benchmark'!$L$11/'STEP 2 Detailed analysis'!$AD$23</f>
        <v>#DIV/0!</v>
      </c>
      <c r="AD33" cm="1">
        <f t="array" ref="AD33">_xlfn.IFS('STEP 1 Benchmark'!$D$3='STEP 1 Benchmark'!$Q$5,'data for graph'!AC33,'STEP 1 Benchmark'!$D$3='STEP 1 Benchmark'!$Q$7,'data for graph'!AB33)</f>
        <v>149.67532467532465</v>
      </c>
      <c r="AE33">
        <f t="shared" si="0"/>
        <v>161.58008658008654</v>
      </c>
    </row>
    <row r="34" spans="2:31" x14ac:dyDescent="0.25">
      <c r="B34">
        <v>29</v>
      </c>
      <c r="C34" s="221">
        <v>6.25</v>
      </c>
      <c r="D34" s="221">
        <v>29.166666666666664</v>
      </c>
      <c r="E34" s="221">
        <v>15.97222222222222</v>
      </c>
      <c r="F34" s="221">
        <v>76.600241545893709</v>
      </c>
      <c r="G34" s="221">
        <v>7.8804347826086927</v>
      </c>
      <c r="H34" s="221">
        <v>135.86956521739128</v>
      </c>
      <c r="J34" s="222" t="s">
        <v>524</v>
      </c>
      <c r="K34" s="220">
        <v>335.0970017636684</v>
      </c>
      <c r="L34" s="223">
        <f>K34*'STEP 1 Benchmark'!$L$11</f>
        <v>143.61300075585788</v>
      </c>
      <c r="M34" s="223" t="e">
        <f>K34*'STEP 1 Benchmark'!$L$11/'STEP 2 Detailed analysis'!$AD$23</f>
        <v>#DIV/0!</v>
      </c>
      <c r="N34" cm="1">
        <f t="array" ref="N34">_xlfn.IFS('STEP 1 Benchmark'!$D$3='STEP 1 Benchmark'!$Q$5,'data for graph'!M34,'STEP 1 Benchmark'!$D$3='STEP 1 Benchmark'!$Q$7,'data for graph'!L34)</f>
        <v>143.61300075585788</v>
      </c>
      <c r="P34" s="409"/>
      <c r="Q34" s="220">
        <v>221.3004484305618</v>
      </c>
      <c r="R34" s="223">
        <f>Q34*'STEP 1 Benchmark'!$L$11</f>
        <v>94.843049327383625</v>
      </c>
      <c r="S34" s="223" t="e">
        <f>Q34*'STEP 1 Benchmark'!$L$11/'STEP 2 Detailed analysis'!$AD$23</f>
        <v>#DIV/0!</v>
      </c>
      <c r="T34" cm="1">
        <f t="array" ref="T34">_xlfn.IFS('STEP 1 Benchmark'!$D$3='STEP 1 Benchmark'!$Q$5,'data for graph'!S34,'STEP 1 Benchmark'!$D$3='STEP 1 Benchmark'!$Q$7,'data for graph'!R34)</f>
        <v>94.843049327383625</v>
      </c>
      <c r="V34" t="s">
        <v>523</v>
      </c>
      <c r="W34">
        <v>22.222222222222218</v>
      </c>
      <c r="X34" s="223">
        <f>W34*'STEP 1 Benchmark'!$L$11</f>
        <v>9.5238095238095219</v>
      </c>
      <c r="Y34" s="223" t="e">
        <f>W34*'STEP 1 Benchmark'!$L$11/'STEP 2 Detailed analysis'!$AD$23</f>
        <v>#DIV/0!</v>
      </c>
      <c r="Z34" cm="1">
        <f t="array" ref="Z34">_xlfn.IFS('STEP 1 Benchmark'!$D$3='STEP 1 Benchmark'!$Q$5,'data for graph'!Y34,'STEP 1 Benchmark'!$D$3='STEP 1 Benchmark'!$Q$7,'data for graph'!X34)</f>
        <v>9.5238095238095219</v>
      </c>
      <c r="AA34">
        <v>356.94444444444446</v>
      </c>
      <c r="AB34" s="223">
        <f>AA34*'STEP 1 Benchmark'!$L$11</f>
        <v>152.97619047619048</v>
      </c>
      <c r="AC34" s="223" t="e">
        <f>AA34*'STEP 1 Benchmark'!$L$11/'STEP 2 Detailed analysis'!$AD$23</f>
        <v>#DIV/0!</v>
      </c>
      <c r="AD34" cm="1">
        <f t="array" ref="AD34">_xlfn.IFS('STEP 1 Benchmark'!$D$3='STEP 1 Benchmark'!$Q$5,'data for graph'!AC34,'STEP 1 Benchmark'!$D$3='STEP 1 Benchmark'!$Q$7,'data for graph'!AB34)</f>
        <v>152.97619047619048</v>
      </c>
      <c r="AE34">
        <f t="shared" si="0"/>
        <v>162.5</v>
      </c>
    </row>
    <row r="35" spans="2:31" x14ac:dyDescent="0.25">
      <c r="B35">
        <v>30</v>
      </c>
      <c r="C35" s="221">
        <v>13.141666666666666</v>
      </c>
      <c r="D35" s="221">
        <v>23.516666666666662</v>
      </c>
      <c r="E35" s="221">
        <v>24.208333333333329</v>
      </c>
      <c r="F35" s="221">
        <v>61.657142857142851</v>
      </c>
      <c r="G35" s="221">
        <v>13.613756613756619</v>
      </c>
      <c r="H35" s="221">
        <v>136.13756613756613</v>
      </c>
      <c r="J35" s="222" t="s">
        <v>533</v>
      </c>
      <c r="K35" s="220">
        <v>340.13605442176868</v>
      </c>
      <c r="L35" s="223">
        <f>K35*'STEP 1 Benchmark'!$L$11</f>
        <v>145.77259475218656</v>
      </c>
      <c r="M35" s="223" t="e">
        <f>K35*'STEP 1 Benchmark'!$L$11/'STEP 2 Detailed analysis'!$AD$23</f>
        <v>#DIV/0!</v>
      </c>
      <c r="N35" cm="1">
        <f t="array" ref="N35">_xlfn.IFS('STEP 1 Benchmark'!$D$3='STEP 1 Benchmark'!$Q$5,'data for graph'!M35,'STEP 1 Benchmark'!$D$3='STEP 1 Benchmark'!$Q$7,'data for graph'!L35)</f>
        <v>145.77259475218656</v>
      </c>
      <c r="P35" s="409"/>
      <c r="Q35" s="220">
        <v>249.8530276308054</v>
      </c>
      <c r="R35" s="223">
        <f>Q35*'STEP 1 Benchmark'!$L$11</f>
        <v>107.07986898463088</v>
      </c>
      <c r="S35" s="223" t="e">
        <f>Q35*'STEP 1 Benchmark'!$L$11/'STEP 2 Detailed analysis'!$AD$23</f>
        <v>#DIV/0!</v>
      </c>
      <c r="T35" cm="1">
        <f t="array" ref="T35">_xlfn.IFS('STEP 1 Benchmark'!$D$3='STEP 1 Benchmark'!$Q$5,'data for graph'!S35,'STEP 1 Benchmark'!$D$3='STEP 1 Benchmark'!$Q$7,'data for graph'!R35)</f>
        <v>107.07986898463088</v>
      </c>
      <c r="V35" t="s">
        <v>523</v>
      </c>
      <c r="W35">
        <v>41.666666666666657</v>
      </c>
      <c r="X35" s="223">
        <f>W35*'STEP 1 Benchmark'!$L$11</f>
        <v>17.857142857142851</v>
      </c>
      <c r="Y35" s="223" t="e">
        <f>W35*'STEP 1 Benchmark'!$L$11/'STEP 2 Detailed analysis'!$AD$23</f>
        <v>#DIV/0!</v>
      </c>
      <c r="Z35" cm="1">
        <f t="array" ref="Z35">_xlfn.IFS('STEP 1 Benchmark'!$D$3='STEP 1 Benchmark'!$Q$5,'data for graph'!Y35,'STEP 1 Benchmark'!$D$3='STEP 1 Benchmark'!$Q$7,'data for graph'!X35)</f>
        <v>17.857142857142851</v>
      </c>
      <c r="AA35">
        <v>363.15359477124179</v>
      </c>
      <c r="AB35" s="223">
        <f>AA35*'STEP 1 Benchmark'!$L$11</f>
        <v>155.63725490196074</v>
      </c>
      <c r="AC35" s="223" t="e">
        <f>AA35*'STEP 1 Benchmark'!$L$11/'STEP 2 Detailed analysis'!$AD$23</f>
        <v>#DIV/0!</v>
      </c>
      <c r="AD35" cm="1">
        <f t="array" ref="AD35">_xlfn.IFS('STEP 1 Benchmark'!$D$3='STEP 1 Benchmark'!$Q$5,'data for graph'!AC35,'STEP 1 Benchmark'!$D$3='STEP 1 Benchmark'!$Q$7,'data for graph'!AB35)</f>
        <v>155.63725490196074</v>
      </c>
      <c r="AE35">
        <f t="shared" si="0"/>
        <v>173.49439775910361</v>
      </c>
    </row>
    <row r="36" spans="2:31" x14ac:dyDescent="0.25">
      <c r="B36">
        <v>31</v>
      </c>
      <c r="C36" s="221">
        <v>9.7777777777777803</v>
      </c>
      <c r="D36" s="221">
        <v>23.222222222222229</v>
      </c>
      <c r="E36" s="221">
        <v>39.722222222222229</v>
      </c>
      <c r="F36" s="221">
        <v>43.759259259259267</v>
      </c>
      <c r="G36" s="221">
        <v>20.555555555555546</v>
      </c>
      <c r="H36" s="221">
        <v>137.03703703703704</v>
      </c>
      <c r="J36" s="222" t="s">
        <v>525</v>
      </c>
      <c r="K36" s="220">
        <v>358.1560283687943</v>
      </c>
      <c r="L36" s="223">
        <f>K36*'STEP 1 Benchmark'!$L$11</f>
        <v>153.49544072948325</v>
      </c>
      <c r="M36" s="223" t="e">
        <f>K36*'STEP 1 Benchmark'!$L$11/'STEP 2 Detailed analysis'!$AD$23</f>
        <v>#DIV/0!</v>
      </c>
      <c r="N36" cm="1">
        <f t="array" ref="N36">_xlfn.IFS('STEP 1 Benchmark'!$D$3='STEP 1 Benchmark'!$Q$5,'data for graph'!M36,'STEP 1 Benchmark'!$D$3='STEP 1 Benchmark'!$Q$7,'data for graph'!L36)</f>
        <v>153.49544072948325</v>
      </c>
      <c r="P36" s="409"/>
      <c r="Q36" s="220">
        <v>252.52525252525248</v>
      </c>
      <c r="R36" s="223">
        <f>Q36*'STEP 1 Benchmark'!$L$11</f>
        <v>108.2251082251082</v>
      </c>
      <c r="S36" s="223" t="e">
        <f>Q36*'STEP 1 Benchmark'!$L$11/'STEP 2 Detailed analysis'!$AD$23</f>
        <v>#DIV/0!</v>
      </c>
      <c r="T36" cm="1">
        <f t="array" ref="T36">_xlfn.IFS('STEP 1 Benchmark'!$D$3='STEP 1 Benchmark'!$Q$5,'data for graph'!S36,'STEP 1 Benchmark'!$D$3='STEP 1 Benchmark'!$Q$7,'data for graph'!R36)</f>
        <v>108.2251082251082</v>
      </c>
      <c r="V36" t="s">
        <v>523</v>
      </c>
      <c r="W36">
        <v>52.777777777777764</v>
      </c>
      <c r="X36" s="223">
        <f>W36*'STEP 1 Benchmark'!$L$11</f>
        <v>22.619047619047613</v>
      </c>
      <c r="Y36" s="223" t="e">
        <f>W36*'STEP 1 Benchmark'!$L$11/'STEP 2 Detailed analysis'!$AD$23</f>
        <v>#DIV/0!</v>
      </c>
      <c r="Z36" cm="1">
        <f t="array" ref="Z36">_xlfn.IFS('STEP 1 Benchmark'!$D$3='STEP 1 Benchmark'!$Q$5,'data for graph'!Y36,'STEP 1 Benchmark'!$D$3='STEP 1 Benchmark'!$Q$7,'data for graph'!X36)</f>
        <v>22.619047619047613</v>
      </c>
      <c r="AA36">
        <v>379.10893778864443</v>
      </c>
      <c r="AB36" s="223">
        <f>AA36*'STEP 1 Benchmark'!$L$11</f>
        <v>162.47525905227619</v>
      </c>
      <c r="AC36" s="223" t="e">
        <f>AA36*'STEP 1 Benchmark'!$L$11/'STEP 2 Detailed analysis'!$AD$23</f>
        <v>#DIV/0!</v>
      </c>
      <c r="AD36" cm="1">
        <f t="array" ref="AD36">_xlfn.IFS('STEP 1 Benchmark'!$D$3='STEP 1 Benchmark'!$Q$5,'data for graph'!AC36,'STEP 1 Benchmark'!$D$3='STEP 1 Benchmark'!$Q$7,'data for graph'!AB36)</f>
        <v>162.47525905227619</v>
      </c>
      <c r="AE36">
        <f t="shared" si="0"/>
        <v>185.09430667132381</v>
      </c>
    </row>
    <row r="37" spans="2:31" x14ac:dyDescent="0.25">
      <c r="B37">
        <v>32</v>
      </c>
      <c r="C37" s="221">
        <v>14.583333333333336</v>
      </c>
      <c r="D37" s="221">
        <v>16.666666666666668</v>
      </c>
      <c r="E37" s="221">
        <v>34.722222222222229</v>
      </c>
      <c r="F37" s="221">
        <v>59.027777777777764</v>
      </c>
      <c r="G37" s="221">
        <v>13.888888888888889</v>
      </c>
      <c r="H37" s="221">
        <v>138.88888888888889</v>
      </c>
      <c r="J37" s="222" t="s">
        <v>535</v>
      </c>
      <c r="K37" s="220">
        <v>364.58333333333331</v>
      </c>
      <c r="L37" s="223">
        <f>K37*'STEP 1 Benchmark'!$L$11</f>
        <v>156.24999999999997</v>
      </c>
      <c r="M37" s="223" t="e">
        <f>K37*'STEP 1 Benchmark'!$L$11/'STEP 2 Detailed analysis'!$AD$23</f>
        <v>#DIV/0!</v>
      </c>
      <c r="N37" cm="1">
        <f t="array" ref="N37">_xlfn.IFS('STEP 1 Benchmark'!$D$3='STEP 1 Benchmark'!$Q$5,'data for graph'!M37,'STEP 1 Benchmark'!$D$3='STEP 1 Benchmark'!$Q$7,'data for graph'!L37)</f>
        <v>156.24999999999997</v>
      </c>
      <c r="P37" s="409"/>
      <c r="Q37" s="220">
        <v>272.90448343079919</v>
      </c>
      <c r="R37" s="223">
        <f>Q37*'STEP 1 Benchmark'!$L$11</f>
        <v>116.95906432748536</v>
      </c>
      <c r="S37" s="223" t="e">
        <f>Q37*'STEP 1 Benchmark'!$L$11/'STEP 2 Detailed analysis'!$AD$23</f>
        <v>#DIV/0!</v>
      </c>
      <c r="T37" cm="1">
        <f t="array" ref="T37">_xlfn.IFS('STEP 1 Benchmark'!$D$3='STEP 1 Benchmark'!$Q$5,'data for graph'!S37,'STEP 1 Benchmark'!$D$3='STEP 1 Benchmark'!$Q$7,'data for graph'!R37)</f>
        <v>116.95906432748536</v>
      </c>
      <c r="V37" t="s">
        <v>523</v>
      </c>
      <c r="W37">
        <v>25.000000000000011</v>
      </c>
      <c r="X37" s="223">
        <f>W37*'STEP 1 Benchmark'!$L$11</f>
        <v>10.714285714285719</v>
      </c>
      <c r="Y37" s="223" t="e">
        <f>W37*'STEP 1 Benchmark'!$L$11/'STEP 2 Detailed analysis'!$AD$23</f>
        <v>#DIV/0!</v>
      </c>
      <c r="Z37" cm="1">
        <f t="array" ref="Z37">_xlfn.IFS('STEP 1 Benchmark'!$D$3='STEP 1 Benchmark'!$Q$5,'data for graph'!Y37,'STEP 1 Benchmark'!$D$3='STEP 1 Benchmark'!$Q$7,'data for graph'!X37)</f>
        <v>10.714285714285719</v>
      </c>
      <c r="AA37">
        <v>452.28140511645654</v>
      </c>
      <c r="AB37" s="223">
        <f>AA37*'STEP 1 Benchmark'!$L$11</f>
        <v>193.8348879070528</v>
      </c>
      <c r="AC37" s="223" t="e">
        <f>AA37*'STEP 1 Benchmark'!$L$11/'STEP 2 Detailed analysis'!$AD$23</f>
        <v>#DIV/0!</v>
      </c>
      <c r="AD37" cm="1">
        <f t="array" ref="AD37">_xlfn.IFS('STEP 1 Benchmark'!$D$3='STEP 1 Benchmark'!$Q$5,'data for graph'!AC37,'STEP 1 Benchmark'!$D$3='STEP 1 Benchmark'!$Q$7,'data for graph'!AB37)</f>
        <v>193.8348879070528</v>
      </c>
      <c r="AE37">
        <f t="shared" si="0"/>
        <v>204.54917362133853</v>
      </c>
    </row>
    <row r="38" spans="2:31" x14ac:dyDescent="0.25">
      <c r="B38">
        <v>33</v>
      </c>
      <c r="C38" s="221">
        <v>15.277777777777779</v>
      </c>
      <c r="D38" s="221">
        <v>22.777777777777779</v>
      </c>
      <c r="E38" s="221">
        <v>25.138888888888893</v>
      </c>
      <c r="F38" s="221">
        <v>68.519841269841265</v>
      </c>
      <c r="G38" s="221">
        <v>11.142857142857142</v>
      </c>
      <c r="H38" s="221">
        <v>142.85714285714286</v>
      </c>
      <c r="J38" s="222" t="s">
        <v>527</v>
      </c>
      <c r="K38" s="220">
        <v>367.43092298647855</v>
      </c>
      <c r="L38" s="223">
        <f>K38*'STEP 1 Benchmark'!$L$11</f>
        <v>157.47039556563365</v>
      </c>
      <c r="M38" s="223" t="e">
        <f>K38*'STEP 1 Benchmark'!$L$11/'STEP 2 Detailed analysis'!$AD$23</f>
        <v>#DIV/0!</v>
      </c>
      <c r="N38" cm="1">
        <f t="array" ref="N38">_xlfn.IFS('STEP 1 Benchmark'!$D$3='STEP 1 Benchmark'!$Q$5,'data for graph'!M38,'STEP 1 Benchmark'!$D$3='STEP 1 Benchmark'!$Q$7,'data for graph'!L38)</f>
        <v>157.47039556563365</v>
      </c>
      <c r="P38" s="409"/>
      <c r="Q38" s="220">
        <v>272.90448343079919</v>
      </c>
      <c r="R38" s="223">
        <f>Q38*'STEP 1 Benchmark'!$L$11</f>
        <v>116.95906432748536</v>
      </c>
      <c r="S38" s="223" t="e">
        <f>Q38*'STEP 1 Benchmark'!$L$11/'STEP 2 Detailed analysis'!$AD$23</f>
        <v>#DIV/0!</v>
      </c>
      <c r="T38" cm="1">
        <f t="array" ref="T38">_xlfn.IFS('STEP 1 Benchmark'!$D$3='STEP 1 Benchmark'!$Q$5,'data for graph'!S38,'STEP 1 Benchmark'!$D$3='STEP 1 Benchmark'!$Q$7,'data for graph'!R38)</f>
        <v>116.95906432748536</v>
      </c>
      <c r="V38" t="s">
        <v>523</v>
      </c>
      <c r="W38">
        <v>58.333333333333343</v>
      </c>
      <c r="X38" s="223">
        <f>W38*'STEP 1 Benchmark'!$L$11</f>
        <v>25.000000000000004</v>
      </c>
      <c r="Y38" s="223" t="e">
        <f>W38*'STEP 1 Benchmark'!$L$11/'STEP 2 Detailed analysis'!$AD$23</f>
        <v>#DIV/0!</v>
      </c>
      <c r="Z38" cm="1">
        <f t="array" ref="Z38">_xlfn.IFS('STEP 1 Benchmark'!$D$3='STEP 1 Benchmark'!$Q$5,'data for graph'!Y38,'STEP 1 Benchmark'!$D$3='STEP 1 Benchmark'!$Q$7,'data for graph'!X38)</f>
        <v>25.000000000000004</v>
      </c>
      <c r="AA38">
        <v>446.20811287477954</v>
      </c>
      <c r="AB38" s="223">
        <f>AA38*'STEP 1 Benchmark'!$L$11</f>
        <v>191.2320483749055</v>
      </c>
      <c r="AC38" s="223" t="e">
        <f>AA38*'STEP 1 Benchmark'!$L$11/'STEP 2 Detailed analysis'!$AD$23</f>
        <v>#DIV/0!</v>
      </c>
      <c r="AD38" cm="1">
        <f t="array" ref="AD38">_xlfn.IFS('STEP 1 Benchmark'!$D$3='STEP 1 Benchmark'!$Q$5,'data for graph'!AC38,'STEP 1 Benchmark'!$D$3='STEP 1 Benchmark'!$Q$7,'data for graph'!AB38)</f>
        <v>191.2320483749055</v>
      </c>
      <c r="AE38">
        <f t="shared" si="0"/>
        <v>216.2320483749055</v>
      </c>
    </row>
    <row r="39" spans="2:31" x14ac:dyDescent="0.25">
      <c r="B39">
        <v>34</v>
      </c>
      <c r="C39" s="221">
        <v>1.9</v>
      </c>
      <c r="D39" s="221">
        <v>7.6</v>
      </c>
      <c r="E39" s="221">
        <v>25</v>
      </c>
      <c r="F39" s="221">
        <v>120</v>
      </c>
      <c r="G39" s="221">
        <v>25.333333333333329</v>
      </c>
      <c r="H39" s="221">
        <v>180</v>
      </c>
      <c r="J39" s="222" t="s">
        <v>524</v>
      </c>
      <c r="K39" s="220">
        <v>374.35614422369389</v>
      </c>
      <c r="L39" s="223">
        <f>K39*'STEP 1 Benchmark'!$L$11</f>
        <v>160.43834752444022</v>
      </c>
      <c r="M39" s="223" t="e">
        <f>K39*'STEP 1 Benchmark'!$L$11/'STEP 2 Detailed analysis'!$AD$23</f>
        <v>#DIV/0!</v>
      </c>
      <c r="N39" cm="1">
        <f t="array" ref="N39">_xlfn.IFS('STEP 1 Benchmark'!$D$3='STEP 1 Benchmark'!$Q$5,'data for graph'!M39,'STEP 1 Benchmark'!$D$3='STEP 1 Benchmark'!$Q$7,'data for graph'!L39)</f>
        <v>160.43834752444022</v>
      </c>
      <c r="P39" s="409"/>
      <c r="Q39" s="220">
        <v>275.21739130399959</v>
      </c>
      <c r="R39" s="223">
        <f>Q39*'STEP 1 Benchmark'!$L$11</f>
        <v>117.95031055885696</v>
      </c>
      <c r="S39" s="223" t="e">
        <f>Q39*'STEP 1 Benchmark'!$L$11/'STEP 2 Detailed analysis'!$AD$23</f>
        <v>#DIV/0!</v>
      </c>
      <c r="T39" cm="1">
        <f t="array" ref="T39">_xlfn.IFS('STEP 1 Benchmark'!$D$3='STEP 1 Benchmark'!$Q$5,'data for graph'!S39,'STEP 1 Benchmark'!$D$3='STEP 1 Benchmark'!$Q$7,'data for graph'!R39)</f>
        <v>117.95031055885696</v>
      </c>
      <c r="V39" t="s">
        <v>523</v>
      </c>
      <c r="W39">
        <v>44.444444444444457</v>
      </c>
      <c r="X39" s="223">
        <f>W39*'STEP 1 Benchmark'!$L$11</f>
        <v>19.047619047619051</v>
      </c>
      <c r="Y39" s="223" t="e">
        <f>W39*'STEP 1 Benchmark'!$L$11/'STEP 2 Detailed analysis'!$AD$23</f>
        <v>#DIV/0!</v>
      </c>
      <c r="Z39" cm="1">
        <f t="array" ref="Z39">_xlfn.IFS('STEP 1 Benchmark'!$D$3='STEP 1 Benchmark'!$Q$5,'data for graph'!Y39,'STEP 1 Benchmark'!$D$3='STEP 1 Benchmark'!$Q$7,'data for graph'!X39)</f>
        <v>19.047619047619051</v>
      </c>
      <c r="AA39">
        <v>456.90883190883187</v>
      </c>
      <c r="AB39" s="223">
        <f>AA39*'STEP 1 Benchmark'!$L$11</f>
        <v>195.81807081807079</v>
      </c>
      <c r="AC39" s="223" t="e">
        <f>AA39*'STEP 1 Benchmark'!$L$11/'STEP 2 Detailed analysis'!$AD$23</f>
        <v>#DIV/0!</v>
      </c>
      <c r="AD39" cm="1">
        <f t="array" ref="AD39">_xlfn.IFS('STEP 1 Benchmark'!$D$3='STEP 1 Benchmark'!$Q$5,'data for graph'!AC39,'STEP 1 Benchmark'!$D$3='STEP 1 Benchmark'!$Q$7,'data for graph'!AB39)</f>
        <v>195.81807081807079</v>
      </c>
      <c r="AE39">
        <f t="shared" si="0"/>
        <v>214.86568986568983</v>
      </c>
    </row>
    <row r="40" spans="2:31" x14ac:dyDescent="0.25">
      <c r="J40" s="222" t="s">
        <v>535</v>
      </c>
      <c r="K40" s="220">
        <v>374.4403744403744</v>
      </c>
      <c r="L40" s="223">
        <f>K40*'STEP 1 Benchmark'!$L$11</f>
        <v>160.47444618873189</v>
      </c>
      <c r="M40" s="223" t="e">
        <f>K40*'STEP 1 Benchmark'!$L$11/'STEP 2 Detailed analysis'!$AD$23</f>
        <v>#DIV/0!</v>
      </c>
      <c r="N40" cm="1">
        <f t="array" ref="N40">_xlfn.IFS('STEP 1 Benchmark'!$D$3='STEP 1 Benchmark'!$Q$5,'data for graph'!M40,'STEP 1 Benchmark'!$D$3='STEP 1 Benchmark'!$Q$7,'data for graph'!L40)</f>
        <v>160.47444618873189</v>
      </c>
      <c r="P40" s="409"/>
      <c r="Q40" s="220">
        <v>279.77084978331663</v>
      </c>
      <c r="R40" s="223">
        <f>Q40*'STEP 1 Benchmark'!$L$11</f>
        <v>119.90179276427855</v>
      </c>
      <c r="S40" s="223" t="e">
        <f>Q40*'STEP 1 Benchmark'!$L$11/'STEP 2 Detailed analysis'!$AD$23</f>
        <v>#DIV/0!</v>
      </c>
      <c r="T40" cm="1">
        <f t="array" ref="T40">_xlfn.IFS('STEP 1 Benchmark'!$D$3='STEP 1 Benchmark'!$Q$5,'data for graph'!S40,'STEP 1 Benchmark'!$D$3='STEP 1 Benchmark'!$Q$7,'data for graph'!R40)</f>
        <v>119.90179276427855</v>
      </c>
      <c r="V40" t="s">
        <v>523</v>
      </c>
      <c r="W40">
        <v>13.888888888888888</v>
      </c>
      <c r="X40" s="223">
        <f>W40*'STEP 1 Benchmark'!$L$11</f>
        <v>5.9523809523809517</v>
      </c>
      <c r="Y40" s="223" t="e">
        <f>W40*'STEP 1 Benchmark'!$L$11/'STEP 2 Detailed analysis'!$AD$23</f>
        <v>#DIV/0!</v>
      </c>
      <c r="Z40" cm="1">
        <f t="array" ref="Z40">_xlfn.IFS('STEP 1 Benchmark'!$D$3='STEP 1 Benchmark'!$Q$5,'data for graph'!Y40,'STEP 1 Benchmark'!$D$3='STEP 1 Benchmark'!$Q$7,'data for graph'!X40)</f>
        <v>5.9523809523809517</v>
      </c>
      <c r="AA40">
        <v>510.31746031746036</v>
      </c>
      <c r="AB40" s="223">
        <f>AA40*'STEP 1 Benchmark'!$L$11</f>
        <v>218.70748299319729</v>
      </c>
      <c r="AC40" s="223" t="e">
        <f>AA40*'STEP 1 Benchmark'!$L$11/'STEP 2 Detailed analysis'!$AD$23</f>
        <v>#DIV/0!</v>
      </c>
      <c r="AD40" cm="1">
        <f t="array" ref="AD40">_xlfn.IFS('STEP 1 Benchmark'!$D$3='STEP 1 Benchmark'!$Q$5,'data for graph'!AC40,'STEP 1 Benchmark'!$D$3='STEP 1 Benchmark'!$Q$7,'data for graph'!AB40)</f>
        <v>218.70748299319729</v>
      </c>
      <c r="AE40">
        <f t="shared" si="0"/>
        <v>224.65986394557825</v>
      </c>
    </row>
    <row r="41" spans="2:31" x14ac:dyDescent="0.25">
      <c r="J41" s="222" t="s">
        <v>534</v>
      </c>
      <c r="K41" s="220">
        <v>381.9444444444444</v>
      </c>
      <c r="L41" s="223">
        <f>K41*'STEP 1 Benchmark'!$L$11</f>
        <v>163.69047619047618</v>
      </c>
      <c r="M41" s="223" t="e">
        <f>K41*'STEP 1 Benchmark'!$L$11/'STEP 2 Detailed analysis'!$AD$23</f>
        <v>#DIV/0!</v>
      </c>
      <c r="N41" cm="1">
        <f t="array" ref="N41">_xlfn.IFS('STEP 1 Benchmark'!$D$3='STEP 1 Benchmark'!$Q$5,'data for graph'!M41,'STEP 1 Benchmark'!$D$3='STEP 1 Benchmark'!$Q$7,'data for graph'!L41)</f>
        <v>163.69047619047618</v>
      </c>
      <c r="P41" s="409"/>
      <c r="Q41" s="220">
        <v>285.21825396825403</v>
      </c>
      <c r="R41" s="223">
        <f>Q41*'STEP 1 Benchmark'!$L$11</f>
        <v>122.23639455782315</v>
      </c>
      <c r="S41" s="223" t="e">
        <f>Q41*'STEP 1 Benchmark'!$L$11/'STEP 2 Detailed analysis'!$AD$23</f>
        <v>#DIV/0!</v>
      </c>
      <c r="T41" cm="1">
        <f t="array" ref="T41">_xlfn.IFS('STEP 1 Benchmark'!$D$3='STEP 1 Benchmark'!$Q$5,'data for graph'!S41,'STEP 1 Benchmark'!$D$3='STEP 1 Benchmark'!$Q$7,'data for graph'!R41)</f>
        <v>122.23639455782315</v>
      </c>
      <c r="V41" t="s">
        <v>523</v>
      </c>
      <c r="W41">
        <v>11.111111111111111</v>
      </c>
      <c r="X41" s="223">
        <f>W41*'STEP 1 Benchmark'!$L$11</f>
        <v>4.7619047619047619</v>
      </c>
      <c r="Y41" s="223" t="e">
        <f>W41*'STEP 1 Benchmark'!$L$11/'STEP 2 Detailed analysis'!$AD$23</f>
        <v>#DIV/0!</v>
      </c>
      <c r="Z41" cm="1">
        <f t="array" ref="Z41">_xlfn.IFS('STEP 1 Benchmark'!$D$3='STEP 1 Benchmark'!$Q$5,'data for graph'!Y41,'STEP 1 Benchmark'!$D$3='STEP 1 Benchmark'!$Q$7,'data for graph'!X41)</f>
        <v>4.7619047619047619</v>
      </c>
      <c r="AA41">
        <v>518.47826086956513</v>
      </c>
      <c r="AB41" s="223">
        <f>AA41*'STEP 1 Benchmark'!$L$11</f>
        <v>222.20496894409933</v>
      </c>
      <c r="AC41" s="223" t="e">
        <f>AA41*'STEP 1 Benchmark'!$L$11/'STEP 2 Detailed analysis'!$AD$23</f>
        <v>#DIV/0!</v>
      </c>
      <c r="AD41" cm="1">
        <f t="array" ref="AD41">_xlfn.IFS('STEP 1 Benchmark'!$D$3='STEP 1 Benchmark'!$Q$5,'data for graph'!AC41,'STEP 1 Benchmark'!$D$3='STEP 1 Benchmark'!$Q$7,'data for graph'!AB41)</f>
        <v>222.20496894409933</v>
      </c>
      <c r="AE41">
        <f t="shared" si="0"/>
        <v>226.96687370600409</v>
      </c>
    </row>
    <row r="42" spans="2:31" x14ac:dyDescent="0.25">
      <c r="J42" s="222" t="s">
        <v>526</v>
      </c>
      <c r="K42" s="220">
        <v>395.67567567567573</v>
      </c>
      <c r="L42" s="223">
        <f>K42*'STEP 1 Benchmark'!$L$11</f>
        <v>169.57528957528959</v>
      </c>
      <c r="M42" s="223" t="e">
        <f>K42*'STEP 1 Benchmark'!$L$11/'STEP 2 Detailed analysis'!$AD$23</f>
        <v>#DIV/0!</v>
      </c>
      <c r="N42" cm="1">
        <f t="array" ref="N42">_xlfn.IFS('STEP 1 Benchmark'!$D$3='STEP 1 Benchmark'!$Q$5,'data for graph'!M42,'STEP 1 Benchmark'!$D$3='STEP 1 Benchmark'!$Q$7,'data for graph'!L42)</f>
        <v>169.57528957528959</v>
      </c>
      <c r="P42" s="409"/>
      <c r="Q42" s="220">
        <v>335.0970017636684</v>
      </c>
      <c r="R42" s="223">
        <f>Q42*'STEP 1 Benchmark'!$L$11</f>
        <v>143.61300075585788</v>
      </c>
      <c r="S42" s="223" t="e">
        <f>Q42*'STEP 1 Benchmark'!$L$11/'STEP 2 Detailed analysis'!$AD$23</f>
        <v>#DIV/0!</v>
      </c>
      <c r="T42" cm="1">
        <f t="array" ref="T42">_xlfn.IFS('STEP 1 Benchmark'!$D$3='STEP 1 Benchmark'!$Q$5,'data for graph'!S42,'STEP 1 Benchmark'!$D$3='STEP 1 Benchmark'!$Q$7,'data for graph'!R42)</f>
        <v>143.61300075585788</v>
      </c>
      <c r="U42" t="s">
        <v>536</v>
      </c>
      <c r="V42" t="s">
        <v>523</v>
      </c>
      <c r="W42">
        <v>1.3888888888888893</v>
      </c>
      <c r="X42" s="223">
        <f>W42*'STEP 1 Benchmark'!$L$11</f>
        <v>0.59523809523809534</v>
      </c>
      <c r="Y42" s="223" t="e">
        <f>W42*'STEP 1 Benchmark'!$L$11/'STEP 2 Detailed analysis'!$AD$23</f>
        <v>#DIV/0!</v>
      </c>
      <c r="Z42" cm="1">
        <f t="array" ref="Z42">_xlfn.IFS('STEP 1 Benchmark'!$D$3='STEP 1 Benchmark'!$Q$5,'data for graph'!Y42,'STEP 1 Benchmark'!$D$3='STEP 1 Benchmark'!$Q$7,'data for graph'!X42)</f>
        <v>0.59523809523809534</v>
      </c>
      <c r="AA42">
        <v>513.58024691358014</v>
      </c>
      <c r="AB42" s="223">
        <f>AA42*'STEP 1 Benchmark'!$L$11</f>
        <v>220.10582010582004</v>
      </c>
      <c r="AC42" s="223" t="e">
        <f>AA42*'STEP 1 Benchmark'!$L$11/'STEP 2 Detailed analysis'!$AD$23</f>
        <v>#DIV/0!</v>
      </c>
      <c r="AD42" cm="1">
        <f t="array" ref="AD42">_xlfn.IFS('STEP 1 Benchmark'!$D$3='STEP 1 Benchmark'!$Q$5,'data for graph'!AC42,'STEP 1 Benchmark'!$D$3='STEP 1 Benchmark'!$Q$7,'data for graph'!AB42)</f>
        <v>220.10582010582004</v>
      </c>
      <c r="AE42">
        <f t="shared" si="0"/>
        <v>220.70105820105815</v>
      </c>
    </row>
    <row r="43" spans="2:31" x14ac:dyDescent="0.25">
      <c r="J43" s="222" t="s">
        <v>532</v>
      </c>
      <c r="K43" s="220">
        <v>410.35353535353534</v>
      </c>
      <c r="L43" s="223">
        <f>K43*'STEP 1 Benchmark'!$L$11</f>
        <v>175.86580086580085</v>
      </c>
      <c r="M43" s="223" t="e">
        <f>K43*'STEP 1 Benchmark'!$L$11/'STEP 2 Detailed analysis'!$AD$23</f>
        <v>#DIV/0!</v>
      </c>
      <c r="N43" cm="1">
        <f t="array" ref="N43">_xlfn.IFS('STEP 1 Benchmark'!$D$3='STEP 1 Benchmark'!$Q$5,'data for graph'!M43,'STEP 1 Benchmark'!$D$3='STEP 1 Benchmark'!$Q$7,'data for graph'!L43)</f>
        <v>175.86580086580085</v>
      </c>
      <c r="P43" s="409"/>
      <c r="Q43" s="220">
        <v>374.35614422369389</v>
      </c>
      <c r="R43" s="223">
        <f>Q43*'STEP 1 Benchmark'!$L$11</f>
        <v>160.43834752444022</v>
      </c>
      <c r="S43" s="223" t="e">
        <f>Q43*'STEP 1 Benchmark'!$L$11/'STEP 2 Detailed analysis'!$AD$23</f>
        <v>#DIV/0!</v>
      </c>
      <c r="T43" cm="1">
        <f t="array" ref="T43">_xlfn.IFS('STEP 1 Benchmark'!$D$3='STEP 1 Benchmark'!$Q$5,'data for graph'!S43,'STEP 1 Benchmark'!$D$3='STEP 1 Benchmark'!$Q$7,'data for graph'!R43)</f>
        <v>160.43834752444022</v>
      </c>
      <c r="W43">
        <v>27.777777777777782</v>
      </c>
      <c r="X43" s="223">
        <f>W43*'STEP 1 Benchmark'!$L$11</f>
        <v>11.904761904761905</v>
      </c>
      <c r="Y43" s="223" t="e">
        <f>W43*'STEP 1 Benchmark'!$L$11/'STEP 2 Detailed analysis'!$AD$23</f>
        <v>#DIV/0!</v>
      </c>
      <c r="Z43" cm="1">
        <f t="array" ref="Z43">_xlfn.IFS('STEP 1 Benchmark'!$D$3='STEP 1 Benchmark'!$Q$5,'data for graph'!Y43,'STEP 1 Benchmark'!$D$3='STEP 1 Benchmark'!$Q$7,'data for graph'!X43)</f>
        <v>11.904761904761905</v>
      </c>
      <c r="AA43">
        <v>163.79310344827584</v>
      </c>
      <c r="AB43" s="223">
        <f>AA43*'STEP 1 Benchmark'!$L$11</f>
        <v>70.197044334975359</v>
      </c>
      <c r="AC43" s="223" t="e">
        <f>AA43*'STEP 1 Benchmark'!$L$11/'STEP 2 Detailed analysis'!$AD$23</f>
        <v>#DIV/0!</v>
      </c>
      <c r="AD43" cm="1">
        <f t="array" ref="AD43">_xlfn.IFS('STEP 1 Benchmark'!$D$3='STEP 1 Benchmark'!$Q$5,'data for graph'!AC43,'STEP 1 Benchmark'!$D$3='STEP 1 Benchmark'!$Q$7,'data for graph'!AB43)</f>
        <v>70.197044334975359</v>
      </c>
      <c r="AE43">
        <f t="shared" si="0"/>
        <v>82.101806239737272</v>
      </c>
    </row>
    <row r="44" spans="2:31" x14ac:dyDescent="0.25">
      <c r="J44" s="222" t="s">
        <v>528</v>
      </c>
      <c r="K44" s="220">
        <v>410.50903119868639</v>
      </c>
      <c r="L44" s="223">
        <f>K44*'STEP 1 Benchmark'!$L$11</f>
        <v>175.93244194229416</v>
      </c>
      <c r="M44" s="223" t="e">
        <f>K44*'STEP 1 Benchmark'!$L$11/'STEP 2 Detailed analysis'!$AD$23</f>
        <v>#DIV/0!</v>
      </c>
      <c r="N44" cm="1">
        <f t="array" ref="N44">_xlfn.IFS('STEP 1 Benchmark'!$D$3='STEP 1 Benchmark'!$Q$5,'data for graph'!M44,'STEP 1 Benchmark'!$D$3='STEP 1 Benchmark'!$Q$7,'data for graph'!L44)</f>
        <v>175.93244194229416</v>
      </c>
      <c r="P44" s="409"/>
      <c r="Q44" s="220">
        <v>457.26495726495727</v>
      </c>
      <c r="R44" s="223">
        <f>Q44*'STEP 1 Benchmark'!$L$11</f>
        <v>195.97069597069597</v>
      </c>
      <c r="S44" s="223" t="e">
        <f>Q44*'STEP 1 Benchmark'!$L$11/'STEP 2 Detailed analysis'!$AD$23</f>
        <v>#DIV/0!</v>
      </c>
      <c r="T44" cm="1">
        <f t="array" ref="T44">_xlfn.IFS('STEP 1 Benchmark'!$D$3='STEP 1 Benchmark'!$Q$5,'data for graph'!S44,'STEP 1 Benchmark'!$D$3='STEP 1 Benchmark'!$Q$7,'data for graph'!R44)</f>
        <v>195.97069597069597</v>
      </c>
      <c r="U44" t="s">
        <v>527</v>
      </c>
      <c r="V44" t="s">
        <v>523</v>
      </c>
      <c r="W44">
        <v>33.167495854063013</v>
      </c>
      <c r="X44" s="223">
        <f>W44*'STEP 1 Benchmark'!$L$11</f>
        <v>14.214641080312719</v>
      </c>
      <c r="Y44" s="223" t="e">
        <f>W44*'STEP 1 Benchmark'!$L$11/'STEP 2 Detailed analysis'!$AD$23</f>
        <v>#DIV/0!</v>
      </c>
      <c r="Z44" cm="1">
        <f t="array" ref="Z44">_xlfn.IFS('STEP 1 Benchmark'!$D$3='STEP 1 Benchmark'!$Q$5,'data for graph'!Y44,'STEP 1 Benchmark'!$D$3='STEP 1 Benchmark'!$Q$7,'data for graph'!X44)</f>
        <v>14.214641080312719</v>
      </c>
      <c r="AA44">
        <v>493.95943562610222</v>
      </c>
      <c r="AB44" s="223">
        <f>AA44*'STEP 1 Benchmark'!$L$11</f>
        <v>211.69690098261523</v>
      </c>
      <c r="AC44" s="223" t="e">
        <f>AA44*'STEP 1 Benchmark'!$L$11/'STEP 2 Detailed analysis'!$AD$23</f>
        <v>#DIV/0!</v>
      </c>
      <c r="AD44" cm="1">
        <f t="array" ref="AD44">_xlfn.IFS('STEP 1 Benchmark'!$D$3='STEP 1 Benchmark'!$Q$5,'data for graph'!AC44,'STEP 1 Benchmark'!$D$3='STEP 1 Benchmark'!$Q$7,'data for graph'!AB44)</f>
        <v>211.69690098261523</v>
      </c>
      <c r="AE44">
        <f t="shared" si="0"/>
        <v>225.91154206292796</v>
      </c>
    </row>
    <row r="45" spans="2:31" x14ac:dyDescent="0.25">
      <c r="J45" s="222" t="s">
        <v>527</v>
      </c>
      <c r="K45" s="220">
        <v>411.52263374485591</v>
      </c>
      <c r="L45" s="223">
        <f>K45*'STEP 1 Benchmark'!$L$11</f>
        <v>176.36684303350967</v>
      </c>
      <c r="M45" s="223" t="e">
        <f>K45*'STEP 1 Benchmark'!$L$11/'STEP 2 Detailed analysis'!$AD$23</f>
        <v>#DIV/0!</v>
      </c>
      <c r="N45" cm="1">
        <f t="array" ref="N45">_xlfn.IFS('STEP 1 Benchmark'!$D$3='STEP 1 Benchmark'!$Q$5,'data for graph'!M45,'STEP 1 Benchmark'!$D$3='STEP 1 Benchmark'!$Q$7,'data for graph'!L45)</f>
        <v>176.36684303350967</v>
      </c>
      <c r="P45" s="409"/>
      <c r="Q45" s="220">
        <v>480.07246376811594</v>
      </c>
      <c r="R45" s="223">
        <f>Q45*'STEP 1 Benchmark'!$L$11</f>
        <v>205.74534161490681</v>
      </c>
      <c r="S45" s="223" t="e">
        <f>Q45*'STEP 1 Benchmark'!$L$11/'STEP 2 Detailed analysis'!$AD$23</f>
        <v>#DIV/0!</v>
      </c>
      <c r="T45" cm="1">
        <f t="array" ref="T45">_xlfn.IFS('STEP 1 Benchmark'!$D$3='STEP 1 Benchmark'!$Q$5,'data for graph'!S45,'STEP 1 Benchmark'!$D$3='STEP 1 Benchmark'!$Q$7,'data for graph'!R45)</f>
        <v>205.74534161490681</v>
      </c>
      <c r="V45" t="s">
        <v>523</v>
      </c>
      <c r="W45">
        <v>27.777777777777782</v>
      </c>
      <c r="X45" s="223">
        <f>W45*'STEP 1 Benchmark'!$L$11</f>
        <v>11.904761904761905</v>
      </c>
      <c r="Y45" s="223" t="e">
        <f>W45*'STEP 1 Benchmark'!$L$11/'STEP 2 Detailed analysis'!$AD$23</f>
        <v>#DIV/0!</v>
      </c>
      <c r="Z45" cm="1">
        <f t="array" ref="Z45">_xlfn.IFS('STEP 1 Benchmark'!$D$3='STEP 1 Benchmark'!$Q$5,'data for graph'!Y45,'STEP 1 Benchmark'!$D$3='STEP 1 Benchmark'!$Q$7,'data for graph'!X45)</f>
        <v>11.904761904761905</v>
      </c>
      <c r="AA45">
        <v>518.31831831831835</v>
      </c>
      <c r="AB45" s="223">
        <f>AA45*'STEP 1 Benchmark'!$L$11</f>
        <v>222.13642213642214</v>
      </c>
      <c r="AC45" s="223" t="e">
        <f>AA45*'STEP 1 Benchmark'!$L$11/'STEP 2 Detailed analysis'!$AD$23</f>
        <v>#DIV/0!</v>
      </c>
      <c r="AD45" cm="1">
        <f t="array" ref="AD45">_xlfn.IFS('STEP 1 Benchmark'!$D$3='STEP 1 Benchmark'!$Q$5,'data for graph'!AC45,'STEP 1 Benchmark'!$D$3='STEP 1 Benchmark'!$Q$7,'data for graph'!AB45)</f>
        <v>222.13642213642214</v>
      </c>
      <c r="AE45">
        <f t="shared" si="0"/>
        <v>234.04118404118404</v>
      </c>
    </row>
    <row r="46" spans="2:31" x14ac:dyDescent="0.25">
      <c r="J46" s="222" t="s">
        <v>526</v>
      </c>
      <c r="K46" s="220">
        <v>416.66666666666663</v>
      </c>
      <c r="L46" s="223">
        <f>K46*'STEP 1 Benchmark'!$L$11</f>
        <v>178.57142857142856</v>
      </c>
      <c r="M46" s="223" t="e">
        <f>K46*'STEP 1 Benchmark'!$L$11/'STEP 2 Detailed analysis'!$AD$23</f>
        <v>#DIV/0!</v>
      </c>
      <c r="N46" cm="1">
        <f t="array" ref="N46">_xlfn.IFS('STEP 1 Benchmark'!$D$3='STEP 1 Benchmark'!$Q$5,'data for graph'!M46,'STEP 1 Benchmark'!$D$3='STEP 1 Benchmark'!$Q$7,'data for graph'!L46)</f>
        <v>178.57142857142856</v>
      </c>
      <c r="P46" s="222" t="s">
        <v>530</v>
      </c>
      <c r="Q46" s="220">
        <v>209.02777777777777</v>
      </c>
      <c r="R46" s="223">
        <f>Q46*'STEP 1 Benchmark'!$L$11</f>
        <v>89.583333333333329</v>
      </c>
      <c r="S46" s="223" t="e">
        <f>Q46*'STEP 1 Benchmark'!$L$11/'STEP 2 Detailed analysis'!$AD$23</f>
        <v>#DIV/0!</v>
      </c>
      <c r="T46" cm="1">
        <f t="array" ref="T46">_xlfn.IFS('STEP 1 Benchmark'!$D$3='STEP 1 Benchmark'!$Q$5,'data for graph'!S46,'STEP 1 Benchmark'!$D$3='STEP 1 Benchmark'!$Q$7,'data for graph'!R46)</f>
        <v>89.583333333333329</v>
      </c>
      <c r="V46" t="s">
        <v>523</v>
      </c>
      <c r="W46">
        <v>27.777777777777782</v>
      </c>
      <c r="X46" s="223">
        <f>W46*'STEP 1 Benchmark'!$L$11</f>
        <v>11.904761904761905</v>
      </c>
      <c r="Y46" s="223" t="e">
        <f>W46*'STEP 1 Benchmark'!$L$11/'STEP 2 Detailed analysis'!$AD$23</f>
        <v>#DIV/0!</v>
      </c>
      <c r="Z46" cm="1">
        <f t="array" ref="Z46">_xlfn.IFS('STEP 1 Benchmark'!$D$3='STEP 1 Benchmark'!$Q$5,'data for graph'!Y46,'STEP 1 Benchmark'!$D$3='STEP 1 Benchmark'!$Q$7,'data for graph'!X46)</f>
        <v>11.904761904761905</v>
      </c>
      <c r="AA46">
        <v>521.82539682539675</v>
      </c>
      <c r="AB46" s="223">
        <f>AA46*'STEP 1 Benchmark'!$L$11</f>
        <v>223.63945578231289</v>
      </c>
      <c r="AC46" s="223" t="e">
        <f>AA46*'STEP 1 Benchmark'!$L$11/'STEP 2 Detailed analysis'!$AD$23</f>
        <v>#DIV/0!</v>
      </c>
      <c r="AD46" cm="1">
        <f t="array" ref="AD46">_xlfn.IFS('STEP 1 Benchmark'!$D$3='STEP 1 Benchmark'!$Q$5,'data for graph'!AC46,'STEP 1 Benchmark'!$D$3='STEP 1 Benchmark'!$Q$7,'data for graph'!AB46)</f>
        <v>223.63945578231289</v>
      </c>
      <c r="AE46">
        <f t="shared" si="0"/>
        <v>235.54421768707479</v>
      </c>
    </row>
    <row r="47" spans="2:31" x14ac:dyDescent="0.25">
      <c r="J47" s="222" t="s">
        <v>528</v>
      </c>
      <c r="K47" s="220">
        <v>416.66666666666663</v>
      </c>
      <c r="L47" s="223">
        <f>K47*'STEP 1 Benchmark'!$L$11</f>
        <v>178.57142857142856</v>
      </c>
      <c r="M47" s="223" t="e">
        <f>K47*'STEP 1 Benchmark'!$L$11/'STEP 2 Detailed analysis'!$AD$23</f>
        <v>#DIV/0!</v>
      </c>
      <c r="N47" cm="1">
        <f t="array" ref="N47">_xlfn.IFS('STEP 1 Benchmark'!$D$3='STEP 1 Benchmark'!$Q$5,'data for graph'!M47,'STEP 1 Benchmark'!$D$3='STEP 1 Benchmark'!$Q$7,'data for graph'!L47)</f>
        <v>178.57142857142856</v>
      </c>
      <c r="P47" s="409" t="s">
        <v>528</v>
      </c>
      <c r="Q47" s="220">
        <v>250.54466230936816</v>
      </c>
      <c r="R47" s="223">
        <f>Q47*'STEP 1 Benchmark'!$L$11</f>
        <v>107.37628384687207</v>
      </c>
      <c r="S47" s="223" t="e">
        <f>Q47*'STEP 1 Benchmark'!$L$11/'STEP 2 Detailed analysis'!$AD$23</f>
        <v>#DIV/0!</v>
      </c>
      <c r="T47" cm="1">
        <f t="array" ref="T47">_xlfn.IFS('STEP 1 Benchmark'!$D$3='STEP 1 Benchmark'!$Q$5,'data for graph'!S47,'STEP 1 Benchmark'!$D$3='STEP 1 Benchmark'!$Q$7,'data for graph'!R47)</f>
        <v>107.37628384687207</v>
      </c>
      <c r="V47" t="s">
        <v>523</v>
      </c>
      <c r="W47">
        <v>115.74074074074072</v>
      </c>
      <c r="X47" s="223">
        <f>W47*'STEP 1 Benchmark'!$L$11</f>
        <v>49.603174603174594</v>
      </c>
      <c r="Y47" s="223" t="e">
        <f>W47*'STEP 1 Benchmark'!$L$11/'STEP 2 Detailed analysis'!$AD$23</f>
        <v>#DIV/0!</v>
      </c>
      <c r="Z47" cm="1">
        <f t="array" ref="Z47">_xlfn.IFS('STEP 1 Benchmark'!$D$3='STEP 1 Benchmark'!$Q$5,'data for graph'!Y47,'STEP 1 Benchmark'!$D$3='STEP 1 Benchmark'!$Q$7,'data for graph'!X47)</f>
        <v>49.603174603174594</v>
      </c>
      <c r="AA47">
        <v>497.22222222222217</v>
      </c>
      <c r="AB47" s="223">
        <f>AA47*'STEP 1 Benchmark'!$L$11</f>
        <v>213.09523809523807</v>
      </c>
      <c r="AC47" s="223" t="e">
        <f>AA47*'STEP 1 Benchmark'!$L$11/'STEP 2 Detailed analysis'!$AD$23</f>
        <v>#DIV/0!</v>
      </c>
      <c r="AD47" cm="1">
        <f t="array" ref="AD47">_xlfn.IFS('STEP 1 Benchmark'!$D$3='STEP 1 Benchmark'!$Q$5,'data for graph'!AC47,'STEP 1 Benchmark'!$D$3='STEP 1 Benchmark'!$Q$7,'data for graph'!AB47)</f>
        <v>213.09523809523807</v>
      </c>
      <c r="AE47">
        <f t="shared" si="0"/>
        <v>262.69841269841265</v>
      </c>
    </row>
    <row r="48" spans="2:31" x14ac:dyDescent="0.25">
      <c r="J48" s="222" t="s">
        <v>537</v>
      </c>
      <c r="K48" s="220">
        <v>418.70915032679733</v>
      </c>
      <c r="L48" s="223">
        <f>K48*'STEP 1 Benchmark'!$L$11</f>
        <v>179.44677871148457</v>
      </c>
      <c r="M48" s="223" t="e">
        <f>K48*'STEP 1 Benchmark'!$L$11/'STEP 2 Detailed analysis'!$AD$23</f>
        <v>#DIV/0!</v>
      </c>
      <c r="N48" cm="1">
        <f t="array" ref="N48">_xlfn.IFS('STEP 1 Benchmark'!$D$3='STEP 1 Benchmark'!$Q$5,'data for graph'!M48,'STEP 1 Benchmark'!$D$3='STEP 1 Benchmark'!$Q$7,'data for graph'!L48)</f>
        <v>179.44677871148457</v>
      </c>
      <c r="P48" s="409"/>
      <c r="Q48" s="220">
        <v>286.73835125448028</v>
      </c>
      <c r="R48" s="223">
        <f>Q48*'STEP 1 Benchmark'!$L$11</f>
        <v>122.88786482334868</v>
      </c>
      <c r="S48" s="223" t="e">
        <f>Q48*'STEP 1 Benchmark'!$L$11/'STEP 2 Detailed analysis'!$AD$23</f>
        <v>#DIV/0!</v>
      </c>
      <c r="T48" cm="1">
        <f t="array" ref="T48">_xlfn.IFS('STEP 1 Benchmark'!$D$3='STEP 1 Benchmark'!$Q$5,'data for graph'!S48,'STEP 1 Benchmark'!$D$3='STEP 1 Benchmark'!$Q$7,'data for graph'!R48)</f>
        <v>122.88786482334868</v>
      </c>
      <c r="V48" t="s">
        <v>523</v>
      </c>
      <c r="W48">
        <v>55.55555555555555</v>
      </c>
      <c r="X48" s="223">
        <f>W48*'STEP 1 Benchmark'!$L$11</f>
        <v>23.809523809523807</v>
      </c>
      <c r="Y48" s="223" t="e">
        <f>W48*'STEP 1 Benchmark'!$L$11/'STEP 2 Detailed analysis'!$AD$23</f>
        <v>#DIV/0!</v>
      </c>
      <c r="Z48" cm="1">
        <f t="array" ref="Z48">_xlfn.IFS('STEP 1 Benchmark'!$D$3='STEP 1 Benchmark'!$Q$5,'data for graph'!Y48,'STEP 1 Benchmark'!$D$3='STEP 1 Benchmark'!$Q$7,'data for graph'!X48)</f>
        <v>23.809523809523807</v>
      </c>
      <c r="AA48">
        <v>578.45117845117852</v>
      </c>
      <c r="AB48" s="223">
        <f>AA48*'STEP 1 Benchmark'!$L$11</f>
        <v>247.90764790764791</v>
      </c>
      <c r="AC48" s="223" t="e">
        <f>AA48*'STEP 1 Benchmark'!$L$11/'STEP 2 Detailed analysis'!$AD$23</f>
        <v>#DIV/0!</v>
      </c>
      <c r="AD48" cm="1">
        <f t="array" ref="AD48">_xlfn.IFS('STEP 1 Benchmark'!$D$3='STEP 1 Benchmark'!$Q$5,'data for graph'!AC48,'STEP 1 Benchmark'!$D$3='STEP 1 Benchmark'!$Q$7,'data for graph'!AB48)</f>
        <v>247.90764790764791</v>
      </c>
      <c r="AE48">
        <f t="shared" si="0"/>
        <v>271.71717171717171</v>
      </c>
    </row>
    <row r="49" spans="10:31" x14ac:dyDescent="0.25">
      <c r="J49" s="222" t="s">
        <v>534</v>
      </c>
      <c r="K49" s="220">
        <v>434.66449334419997</v>
      </c>
      <c r="L49" s="223">
        <f>K49*'STEP 1 Benchmark'!$L$11</f>
        <v>186.28478286179998</v>
      </c>
      <c r="M49" s="223" t="e">
        <f>K49*'STEP 1 Benchmark'!$L$11/'STEP 2 Detailed analysis'!$AD$23</f>
        <v>#DIV/0!</v>
      </c>
      <c r="N49" cm="1">
        <f t="array" ref="N49">_xlfn.IFS('STEP 1 Benchmark'!$D$3='STEP 1 Benchmark'!$Q$5,'data for graph'!M49,'STEP 1 Benchmark'!$D$3='STEP 1 Benchmark'!$Q$7,'data for graph'!L49)</f>
        <v>186.28478286179998</v>
      </c>
      <c r="P49" s="409"/>
      <c r="Q49" s="220">
        <v>364.58333333333331</v>
      </c>
      <c r="R49" s="223">
        <f>Q49*'STEP 1 Benchmark'!$L$11</f>
        <v>156.24999999999997</v>
      </c>
      <c r="S49" s="223" t="e">
        <f>Q49*'STEP 1 Benchmark'!$L$11/'STEP 2 Detailed analysis'!$AD$23</f>
        <v>#DIV/0!</v>
      </c>
      <c r="T49" cm="1">
        <f t="array" ref="T49">_xlfn.IFS('STEP 1 Benchmark'!$D$3='STEP 1 Benchmark'!$Q$5,'data for graph'!S49,'STEP 1 Benchmark'!$D$3='STEP 1 Benchmark'!$Q$7,'data for graph'!R49)</f>
        <v>156.24999999999997</v>
      </c>
      <c r="U49" t="s">
        <v>532</v>
      </c>
      <c r="V49" t="s">
        <v>523</v>
      </c>
      <c r="W49" s="221">
        <v>27.777777777777779</v>
      </c>
      <c r="X49" s="223">
        <f>W49*'STEP 1 Benchmark'!$L$11</f>
        <v>11.904761904761905</v>
      </c>
      <c r="Y49" s="223" t="e">
        <f>W49*'STEP 1 Benchmark'!$L$11/'STEP 2 Detailed analysis'!$AD$23</f>
        <v>#DIV/0!</v>
      </c>
      <c r="Z49" cm="1">
        <f t="array" ref="Z49">_xlfn.IFS('STEP 1 Benchmark'!$D$3='STEP 1 Benchmark'!$Q$5,'data for graph'!Y49,'STEP 1 Benchmark'!$D$3='STEP 1 Benchmark'!$Q$7,'data for graph'!X49)</f>
        <v>11.904761904761905</v>
      </c>
      <c r="AA49">
        <v>172.83950617283949</v>
      </c>
      <c r="AB49" s="223">
        <f>AA49*'STEP 1 Benchmark'!$L$11</f>
        <v>74.074074074074062</v>
      </c>
      <c r="AC49" s="223" t="e">
        <f>AA49*'STEP 1 Benchmark'!$L$11/'STEP 2 Detailed analysis'!$AD$23</f>
        <v>#DIV/0!</v>
      </c>
      <c r="AD49" cm="1">
        <f t="array" ref="AD49">_xlfn.IFS('STEP 1 Benchmark'!$D$3='STEP 1 Benchmark'!$Q$5,'data for graph'!AC49,'STEP 1 Benchmark'!$D$3='STEP 1 Benchmark'!$Q$7,'data for graph'!AB49)</f>
        <v>74.074074074074062</v>
      </c>
      <c r="AE49">
        <f t="shared" si="0"/>
        <v>85.978835978835974</v>
      </c>
    </row>
    <row r="50" spans="10:31" x14ac:dyDescent="0.25">
      <c r="J50" s="222" t="s">
        <v>534</v>
      </c>
      <c r="K50" s="220">
        <v>445.6654456654457</v>
      </c>
      <c r="L50" s="223">
        <f>K50*'STEP 1 Benchmark'!$L$11</f>
        <v>190.99947671376242</v>
      </c>
      <c r="M50" s="223" t="e">
        <f>K50*'STEP 1 Benchmark'!$L$11/'STEP 2 Detailed analysis'!$AD$23</f>
        <v>#DIV/0!</v>
      </c>
      <c r="N50" cm="1">
        <f t="array" ref="N50">_xlfn.IFS('STEP 1 Benchmark'!$D$3='STEP 1 Benchmark'!$Q$5,'data for graph'!M50,'STEP 1 Benchmark'!$D$3='STEP 1 Benchmark'!$Q$7,'data for graph'!L50)</f>
        <v>190.99947671376242</v>
      </c>
      <c r="P50" s="409"/>
      <c r="Q50" s="220">
        <v>374.4403744403744</v>
      </c>
      <c r="R50" s="223">
        <f>Q50*'STEP 1 Benchmark'!$L$11</f>
        <v>160.47444618873189</v>
      </c>
      <c r="S50" s="223" t="e">
        <f>Q50*'STEP 1 Benchmark'!$L$11/'STEP 2 Detailed analysis'!$AD$23</f>
        <v>#DIV/0!</v>
      </c>
      <c r="T50" cm="1">
        <f t="array" ref="T50">_xlfn.IFS('STEP 1 Benchmark'!$D$3='STEP 1 Benchmark'!$Q$5,'data for graph'!S50,'STEP 1 Benchmark'!$D$3='STEP 1 Benchmark'!$Q$7,'data for graph'!R50)</f>
        <v>160.47444618873189</v>
      </c>
      <c r="W50" s="221">
        <v>55.55555555555555</v>
      </c>
      <c r="X50" s="223">
        <f>W50*'STEP 1 Benchmark'!$L$11</f>
        <v>23.809523809523807</v>
      </c>
      <c r="Y50" s="223" t="e">
        <f>W50*'STEP 1 Benchmark'!$L$11/'STEP 2 Detailed analysis'!$AD$23</f>
        <v>#DIV/0!</v>
      </c>
      <c r="Z50" cm="1">
        <f t="array" ref="Z50">_xlfn.IFS('STEP 1 Benchmark'!$D$3='STEP 1 Benchmark'!$Q$5,'data for graph'!Y50,'STEP 1 Benchmark'!$D$3='STEP 1 Benchmark'!$Q$7,'data for graph'!X50)</f>
        <v>23.809523809523807</v>
      </c>
      <c r="AA50">
        <v>242.41528762805365</v>
      </c>
      <c r="AB50" s="223">
        <f>AA50*'STEP 1 Benchmark'!$L$11</f>
        <v>103.8922661263087</v>
      </c>
      <c r="AC50" s="223" t="e">
        <f>AA50*'STEP 1 Benchmark'!$L$11/'STEP 2 Detailed analysis'!$AD$23</f>
        <v>#DIV/0!</v>
      </c>
      <c r="AD50" cm="1">
        <f t="array" ref="AD50">_xlfn.IFS('STEP 1 Benchmark'!$D$3='STEP 1 Benchmark'!$Q$5,'data for graph'!AC50,'STEP 1 Benchmark'!$D$3='STEP 1 Benchmark'!$Q$7,'data for graph'!AB50)</f>
        <v>103.8922661263087</v>
      </c>
      <c r="AE50">
        <f t="shared" si="0"/>
        <v>127.70178993583251</v>
      </c>
    </row>
    <row r="51" spans="10:31" x14ac:dyDescent="0.25">
      <c r="J51" s="222" t="s">
        <v>524</v>
      </c>
      <c r="K51" s="220">
        <v>457.26495726495727</v>
      </c>
      <c r="L51" s="223">
        <f>K51*'STEP 1 Benchmark'!$L$11</f>
        <v>195.97069597069597</v>
      </c>
      <c r="M51" s="223" t="e">
        <f>K51*'STEP 1 Benchmark'!$L$11/'STEP 2 Detailed analysis'!$AD$23</f>
        <v>#DIV/0!</v>
      </c>
      <c r="N51" cm="1">
        <f t="array" ref="N51">_xlfn.IFS('STEP 1 Benchmark'!$D$3='STEP 1 Benchmark'!$Q$5,'data for graph'!M51,'STEP 1 Benchmark'!$D$3='STEP 1 Benchmark'!$Q$7,'data for graph'!L51)</f>
        <v>195.97069597069597</v>
      </c>
      <c r="P51" s="409"/>
      <c r="Q51" s="220">
        <v>410.50903119868639</v>
      </c>
      <c r="R51" s="223">
        <f>Q51*'STEP 1 Benchmark'!$L$11</f>
        <v>175.93244194229416</v>
      </c>
      <c r="S51" s="223" t="e">
        <f>Q51*'STEP 1 Benchmark'!$L$11/'STEP 2 Detailed analysis'!$AD$23</f>
        <v>#DIV/0!</v>
      </c>
      <c r="T51" cm="1">
        <f t="array" ref="T51">_xlfn.IFS('STEP 1 Benchmark'!$D$3='STEP 1 Benchmark'!$Q$5,'data for graph'!S51,'STEP 1 Benchmark'!$D$3='STEP 1 Benchmark'!$Q$7,'data for graph'!R51)</f>
        <v>175.93244194229416</v>
      </c>
      <c r="W51" s="221">
        <v>25</v>
      </c>
      <c r="X51" s="223">
        <f>W51*'STEP 1 Benchmark'!$L$11</f>
        <v>10.714285714285714</v>
      </c>
      <c r="Y51" s="223" t="e">
        <f>W51*'STEP 1 Benchmark'!$L$11/'STEP 2 Detailed analysis'!$AD$23</f>
        <v>#DIV/0!</v>
      </c>
      <c r="Z51" cm="1">
        <f t="array" ref="Z51">_xlfn.IFS('STEP 1 Benchmark'!$D$3='STEP 1 Benchmark'!$Q$5,'data for graph'!Y51,'STEP 1 Benchmark'!$D$3='STEP 1 Benchmark'!$Q$7,'data for graph'!X51)</f>
        <v>10.714285714285714</v>
      </c>
      <c r="AA51">
        <v>311.87536743092301</v>
      </c>
      <c r="AB51" s="223">
        <f>AA51*'STEP 1 Benchmark'!$L$11</f>
        <v>133.66087175610986</v>
      </c>
      <c r="AC51" s="223" t="e">
        <f>AA51*'STEP 1 Benchmark'!$L$11/'STEP 2 Detailed analysis'!$AD$23</f>
        <v>#DIV/0!</v>
      </c>
      <c r="AD51" cm="1">
        <f t="array" ref="AD51">_xlfn.IFS('STEP 1 Benchmark'!$D$3='STEP 1 Benchmark'!$Q$5,'data for graph'!AC51,'STEP 1 Benchmark'!$D$3='STEP 1 Benchmark'!$Q$7,'data for graph'!AB51)</f>
        <v>133.66087175610986</v>
      </c>
      <c r="AE51">
        <f t="shared" si="0"/>
        <v>144.37515747039558</v>
      </c>
    </row>
    <row r="52" spans="10:31" x14ac:dyDescent="0.25">
      <c r="J52" s="222" t="s">
        <v>534</v>
      </c>
      <c r="K52" s="220">
        <v>473.98589065255732</v>
      </c>
      <c r="L52" s="223">
        <f>K52*'STEP 1 Benchmark'!$L$11</f>
        <v>203.1368102796674</v>
      </c>
      <c r="M52" s="223" t="e">
        <f>K52*'STEP 1 Benchmark'!$L$11/'STEP 2 Detailed analysis'!$AD$23</f>
        <v>#DIV/0!</v>
      </c>
      <c r="N52" cm="1">
        <f t="array" ref="N52">_xlfn.IFS('STEP 1 Benchmark'!$D$3='STEP 1 Benchmark'!$Q$5,'data for graph'!M52,'STEP 1 Benchmark'!$D$3='STEP 1 Benchmark'!$Q$7,'data for graph'!L52)</f>
        <v>203.1368102796674</v>
      </c>
      <c r="P52" s="409"/>
      <c r="Q52" s="220">
        <v>416.66666666666663</v>
      </c>
      <c r="R52" s="223">
        <f>Q52*'STEP 1 Benchmark'!$L$11</f>
        <v>178.57142857142856</v>
      </c>
      <c r="S52" s="223" t="e">
        <f>Q52*'STEP 1 Benchmark'!$L$11/'STEP 2 Detailed analysis'!$AD$23</f>
        <v>#DIV/0!</v>
      </c>
      <c r="T52" cm="1">
        <f t="array" ref="T52">_xlfn.IFS('STEP 1 Benchmark'!$D$3='STEP 1 Benchmark'!$Q$5,'data for graph'!S52,'STEP 1 Benchmark'!$D$3='STEP 1 Benchmark'!$Q$7,'data for graph'!R52)</f>
        <v>178.57142857142856</v>
      </c>
      <c r="W52" s="221">
        <v>61.1111111111111</v>
      </c>
      <c r="X52" s="223">
        <f>W52*'STEP 1 Benchmark'!$L$11</f>
        <v>26.190476190476183</v>
      </c>
      <c r="Y52" s="223" t="e">
        <f>W52*'STEP 1 Benchmark'!$L$11/'STEP 2 Detailed analysis'!$AD$23</f>
        <v>#DIV/0!</v>
      </c>
      <c r="Z52" cm="1">
        <f t="array" ref="Z52">_xlfn.IFS('STEP 1 Benchmark'!$D$3='STEP 1 Benchmark'!$Q$5,'data for graph'!Y52,'STEP 1 Benchmark'!$D$3='STEP 1 Benchmark'!$Q$7,'data for graph'!X52)</f>
        <v>26.190476190476183</v>
      </c>
      <c r="AA52">
        <v>300.16583747927024</v>
      </c>
      <c r="AB52" s="223">
        <f>AA52*'STEP 1 Benchmark'!$L$11</f>
        <v>128.6425017768301</v>
      </c>
      <c r="AC52" s="223" t="e">
        <f>AA52*'STEP 1 Benchmark'!$L$11/'STEP 2 Detailed analysis'!$AD$23</f>
        <v>#DIV/0!</v>
      </c>
      <c r="AD52" cm="1">
        <f t="array" ref="AD52">_xlfn.IFS('STEP 1 Benchmark'!$D$3='STEP 1 Benchmark'!$Q$5,'data for graph'!AC52,'STEP 1 Benchmark'!$D$3='STEP 1 Benchmark'!$Q$7,'data for graph'!AB52)</f>
        <v>128.6425017768301</v>
      </c>
      <c r="AE52">
        <f t="shared" si="0"/>
        <v>154.83297796730628</v>
      </c>
    </row>
    <row r="53" spans="10:31" x14ac:dyDescent="0.25">
      <c r="J53" s="222" t="s">
        <v>533</v>
      </c>
      <c r="K53" s="220">
        <v>477.2814051164566</v>
      </c>
      <c r="L53" s="223">
        <f>K53*'STEP 1 Benchmark'!$L$11</f>
        <v>204.54917362133853</v>
      </c>
      <c r="M53" s="223" t="e">
        <f>K53*'STEP 1 Benchmark'!$L$11/'STEP 2 Detailed analysis'!$AD$23</f>
        <v>#DIV/0!</v>
      </c>
      <c r="N53" cm="1">
        <f t="array" ref="N53">_xlfn.IFS('STEP 1 Benchmark'!$D$3='STEP 1 Benchmark'!$Q$5,'data for graph'!M53,'STEP 1 Benchmark'!$D$3='STEP 1 Benchmark'!$Q$7,'data for graph'!L53)</f>
        <v>204.54917362133853</v>
      </c>
      <c r="P53" s="409"/>
      <c r="Q53" s="220">
        <v>491.45299145299145</v>
      </c>
      <c r="R53" s="223">
        <f>Q53*'STEP 1 Benchmark'!$L$11</f>
        <v>210.6227106227106</v>
      </c>
      <c r="S53" s="223" t="e">
        <f>Q53*'STEP 1 Benchmark'!$L$11/'STEP 2 Detailed analysis'!$AD$23</f>
        <v>#DIV/0!</v>
      </c>
      <c r="T53" cm="1">
        <f t="array" ref="T53">_xlfn.IFS('STEP 1 Benchmark'!$D$3='STEP 1 Benchmark'!$Q$5,'data for graph'!S53,'STEP 1 Benchmark'!$D$3='STEP 1 Benchmark'!$Q$7,'data for graph'!R53)</f>
        <v>210.6227106227106</v>
      </c>
      <c r="W53" s="221">
        <v>61.111111111111114</v>
      </c>
      <c r="X53" s="223">
        <f>W53*'STEP 1 Benchmark'!$L$11</f>
        <v>26.19047619047619</v>
      </c>
      <c r="Y53" s="223" t="e">
        <f>W53*'STEP 1 Benchmark'!$L$11/'STEP 2 Detailed analysis'!$AD$23</f>
        <v>#DIV/0!</v>
      </c>
      <c r="Z53" cm="1">
        <f t="array" ref="Z53">_xlfn.IFS('STEP 1 Benchmark'!$D$3='STEP 1 Benchmark'!$Q$5,'data for graph'!Y53,'STEP 1 Benchmark'!$D$3='STEP 1 Benchmark'!$Q$7,'data for graph'!X53)</f>
        <v>26.19047619047619</v>
      </c>
      <c r="AA53">
        <v>383.74485596707808</v>
      </c>
      <c r="AB53" s="223">
        <f>AA53*'STEP 1 Benchmark'!$L$11</f>
        <v>164.46208112874774</v>
      </c>
      <c r="AC53" s="223" t="e">
        <f>AA53*'STEP 1 Benchmark'!$L$11/'STEP 2 Detailed analysis'!$AD$23</f>
        <v>#DIV/0!</v>
      </c>
      <c r="AD53" cm="1">
        <f t="array" ref="AD53">_xlfn.IFS('STEP 1 Benchmark'!$D$3='STEP 1 Benchmark'!$Q$5,'data for graph'!AC53,'STEP 1 Benchmark'!$D$3='STEP 1 Benchmark'!$Q$7,'data for graph'!AB53)</f>
        <v>164.46208112874774</v>
      </c>
      <c r="AE53">
        <f t="shared" si="0"/>
        <v>190.65255731922394</v>
      </c>
    </row>
    <row r="54" spans="10:31" x14ac:dyDescent="0.25">
      <c r="J54" s="222" t="s">
        <v>524</v>
      </c>
      <c r="K54" s="220">
        <v>480.07246376811594</v>
      </c>
      <c r="L54" s="223">
        <f>K54*'STEP 1 Benchmark'!$L$11</f>
        <v>205.74534161490681</v>
      </c>
      <c r="M54" s="223" t="e">
        <f>K54*'STEP 1 Benchmark'!$L$11/'STEP 2 Detailed analysis'!$AD$23</f>
        <v>#DIV/0!</v>
      </c>
      <c r="N54" cm="1">
        <f t="array" ref="N54">_xlfn.IFS('STEP 1 Benchmark'!$D$3='STEP 1 Benchmark'!$Q$5,'data for graph'!M54,'STEP 1 Benchmark'!$D$3='STEP 1 Benchmark'!$Q$7,'data for graph'!L54)</f>
        <v>205.74534161490681</v>
      </c>
      <c r="P54" s="409"/>
      <c r="Q54" s="220">
        <v>735.29411764705878</v>
      </c>
      <c r="R54" s="223">
        <f>Q54*'STEP 1 Benchmark'!$L$11</f>
        <v>315.12605042016804</v>
      </c>
      <c r="S54" s="223" t="e">
        <f>Q54*'STEP 1 Benchmark'!$L$11/'STEP 2 Detailed analysis'!$AD$23</f>
        <v>#DIV/0!</v>
      </c>
      <c r="T54" cm="1">
        <f t="array" ref="T54">_xlfn.IFS('STEP 1 Benchmark'!$D$3='STEP 1 Benchmark'!$Q$5,'data for graph'!S54,'STEP 1 Benchmark'!$D$3='STEP 1 Benchmark'!$Q$7,'data for graph'!R54)</f>
        <v>315.12605042016804</v>
      </c>
      <c r="U54" t="s">
        <v>529</v>
      </c>
      <c r="W54">
        <v>27.777777777777771</v>
      </c>
      <c r="X54" s="223">
        <f>W54*'STEP 1 Benchmark'!$L$11</f>
        <v>11.904761904761902</v>
      </c>
      <c r="Y54" s="223" t="e">
        <f>W54*'STEP 1 Benchmark'!$L$11/'STEP 2 Detailed analysis'!$AD$23</f>
        <v>#DIV/0!</v>
      </c>
      <c r="Z54" cm="1">
        <f t="array" ref="Z54">_xlfn.IFS('STEP 1 Benchmark'!$D$3='STEP 1 Benchmark'!$Q$5,'data for graph'!Y54,'STEP 1 Benchmark'!$D$3='STEP 1 Benchmark'!$Q$7,'data for graph'!X54)</f>
        <v>11.904761904761902</v>
      </c>
      <c r="AA54">
        <v>239.71193415637862</v>
      </c>
      <c r="AB54" s="223">
        <f>AA54*'STEP 1 Benchmark'!$L$11</f>
        <v>102.73368606701941</v>
      </c>
      <c r="AC54" s="223" t="e">
        <f>AA54*'STEP 1 Benchmark'!$L$11/'STEP 2 Detailed analysis'!$AD$23</f>
        <v>#DIV/0!</v>
      </c>
      <c r="AD54" cm="1">
        <f t="array" ref="AD54">_xlfn.IFS('STEP 1 Benchmark'!$D$3='STEP 1 Benchmark'!$Q$5,'data for graph'!AC54,'STEP 1 Benchmark'!$D$3='STEP 1 Benchmark'!$Q$7,'data for graph'!AB54)</f>
        <v>102.73368606701941</v>
      </c>
      <c r="AE54">
        <f t="shared" si="0"/>
        <v>114.6384479717813</v>
      </c>
    </row>
    <row r="55" spans="10:31" x14ac:dyDescent="0.25">
      <c r="J55" s="222" t="s">
        <v>526</v>
      </c>
      <c r="K55" s="220">
        <v>486.11111111111109</v>
      </c>
      <c r="L55" s="223">
        <f>K55*'STEP 1 Benchmark'!$L$11</f>
        <v>208.33333333333331</v>
      </c>
      <c r="M55" s="223" t="e">
        <f>K55*'STEP 1 Benchmark'!$L$11/'STEP 2 Detailed analysis'!$AD$23</f>
        <v>#DIV/0!</v>
      </c>
      <c r="N55" cm="1">
        <f t="array" ref="N55">_xlfn.IFS('STEP 1 Benchmark'!$D$3='STEP 1 Benchmark'!$Q$5,'data for graph'!M55,'STEP 1 Benchmark'!$D$3='STEP 1 Benchmark'!$Q$7,'data for graph'!L55)</f>
        <v>208.33333333333331</v>
      </c>
      <c r="P55" s="409" t="s">
        <v>533</v>
      </c>
      <c r="Q55" s="220">
        <v>340.13605442176868</v>
      </c>
      <c r="R55" s="223">
        <f>Q55*'STEP 1 Benchmark'!$L$11</f>
        <v>145.77259475218656</v>
      </c>
      <c r="S55" s="223" t="e">
        <f>Q55*'STEP 1 Benchmark'!$L$11/'STEP 2 Detailed analysis'!$AD$23</f>
        <v>#DIV/0!</v>
      </c>
      <c r="T55" cm="1">
        <f t="array" ref="T55">_xlfn.IFS('STEP 1 Benchmark'!$D$3='STEP 1 Benchmark'!$Q$5,'data for graph'!S55,'STEP 1 Benchmark'!$D$3='STEP 1 Benchmark'!$Q$7,'data for graph'!R55)</f>
        <v>145.77259475218656</v>
      </c>
      <c r="V55" t="s">
        <v>523</v>
      </c>
      <c r="W55">
        <v>69.444444444444443</v>
      </c>
      <c r="X55" s="223">
        <f>W55*'STEP 1 Benchmark'!$L$11</f>
        <v>29.761904761904759</v>
      </c>
      <c r="Y55" s="223" t="e">
        <f>W55*'STEP 1 Benchmark'!$L$11/'STEP 2 Detailed analysis'!$AD$23</f>
        <v>#DIV/0!</v>
      </c>
      <c r="Z55" cm="1">
        <f t="array" ref="Z55">_xlfn.IFS('STEP 1 Benchmark'!$D$3='STEP 1 Benchmark'!$Q$5,'data for graph'!Y55,'STEP 1 Benchmark'!$D$3='STEP 1 Benchmark'!$Q$7,'data for graph'!X55)</f>
        <v>29.761904761904759</v>
      </c>
      <c r="AA55">
        <v>239.19753086419752</v>
      </c>
      <c r="AB55" s="223">
        <f>AA55*'STEP 1 Benchmark'!$L$11</f>
        <v>102.51322751322751</v>
      </c>
      <c r="AC55" s="223" t="e">
        <f>AA55*'STEP 1 Benchmark'!$L$11/'STEP 2 Detailed analysis'!$AD$23</f>
        <v>#DIV/0!</v>
      </c>
      <c r="AD55" cm="1">
        <f t="array" ref="AD55">_xlfn.IFS('STEP 1 Benchmark'!$D$3='STEP 1 Benchmark'!$Q$5,'data for graph'!AC55,'STEP 1 Benchmark'!$D$3='STEP 1 Benchmark'!$Q$7,'data for graph'!AB55)</f>
        <v>102.51322751322751</v>
      </c>
      <c r="AE55">
        <f t="shared" si="0"/>
        <v>132.27513227513225</v>
      </c>
    </row>
    <row r="56" spans="10:31" x14ac:dyDescent="0.25">
      <c r="J56" s="222" t="s">
        <v>528</v>
      </c>
      <c r="K56" s="220">
        <v>491.45299145299145</v>
      </c>
      <c r="L56" s="223">
        <f>K56*'STEP 1 Benchmark'!$L$11</f>
        <v>210.6227106227106</v>
      </c>
      <c r="M56" s="223" t="e">
        <f>K56*'STEP 1 Benchmark'!$L$11/'STEP 2 Detailed analysis'!$AD$23</f>
        <v>#DIV/0!</v>
      </c>
      <c r="N56" cm="1">
        <f t="array" ref="N56">_xlfn.IFS('STEP 1 Benchmark'!$D$3='STEP 1 Benchmark'!$Q$5,'data for graph'!M56,'STEP 1 Benchmark'!$D$3='STEP 1 Benchmark'!$Q$7,'data for graph'!L56)</f>
        <v>210.6227106227106</v>
      </c>
      <c r="P56" s="409"/>
      <c r="Q56" s="220">
        <v>477.2814051164566</v>
      </c>
      <c r="R56" s="223">
        <f>Q56*'STEP 1 Benchmark'!$L$11</f>
        <v>204.54917362133853</v>
      </c>
      <c r="S56" s="223" t="e">
        <f>Q56*'STEP 1 Benchmark'!$L$11/'STEP 2 Detailed analysis'!$AD$23</f>
        <v>#DIV/0!</v>
      </c>
      <c r="T56" cm="1">
        <f t="array" ref="T56">_xlfn.IFS('STEP 1 Benchmark'!$D$3='STEP 1 Benchmark'!$Q$5,'data for graph'!S56,'STEP 1 Benchmark'!$D$3='STEP 1 Benchmark'!$Q$7,'data for graph'!R56)</f>
        <v>204.54917362133853</v>
      </c>
    </row>
    <row r="57" spans="10:31" x14ac:dyDescent="0.25">
      <c r="J57" s="222" t="s">
        <v>534</v>
      </c>
      <c r="K57" s="220">
        <v>498.57549857549856</v>
      </c>
      <c r="L57" s="223">
        <f>K57*'STEP 1 Benchmark'!$L$11</f>
        <v>213.67521367521366</v>
      </c>
      <c r="M57" s="223" t="e">
        <f>K57*'STEP 1 Benchmark'!$L$11/'STEP 2 Detailed analysis'!$AD$23</f>
        <v>#DIV/0!</v>
      </c>
      <c r="N57" cm="1">
        <f t="array" ref="N57">_xlfn.IFS('STEP 1 Benchmark'!$D$3='STEP 1 Benchmark'!$Q$5,'data for graph'!M57,'STEP 1 Benchmark'!$D$3='STEP 1 Benchmark'!$Q$7,'data for graph'!L57)</f>
        <v>213.67521367521366</v>
      </c>
      <c r="P57" s="409" t="s">
        <v>534</v>
      </c>
      <c r="Q57" s="220">
        <v>381.9444444444444</v>
      </c>
      <c r="R57" s="223">
        <f>Q57*'STEP 1 Benchmark'!$L$11</f>
        <v>163.69047619047618</v>
      </c>
      <c r="S57" s="223" t="e">
        <f>Q57*'STEP 1 Benchmark'!$L$11/'STEP 2 Detailed analysis'!$AD$23</f>
        <v>#DIV/0!</v>
      </c>
      <c r="T57" cm="1">
        <f t="array" ref="T57">_xlfn.IFS('STEP 1 Benchmark'!$D$3='STEP 1 Benchmark'!$Q$5,'data for graph'!S57,'STEP 1 Benchmark'!$D$3='STEP 1 Benchmark'!$Q$7,'data for graph'!R57)</f>
        <v>163.69047619047618</v>
      </c>
    </row>
    <row r="58" spans="10:31" x14ac:dyDescent="0.25">
      <c r="J58" s="222" t="s">
        <v>534</v>
      </c>
      <c r="K58" s="220">
        <v>500.34506556245685</v>
      </c>
      <c r="L58" s="223">
        <f>K58*'STEP 1 Benchmark'!$L$11</f>
        <v>214.43359952676721</v>
      </c>
      <c r="M58" s="223" t="e">
        <f>K58*'STEP 1 Benchmark'!$L$11/'STEP 2 Detailed analysis'!$AD$23</f>
        <v>#DIV/0!</v>
      </c>
      <c r="N58" cm="1">
        <f t="array" ref="N58">_xlfn.IFS('STEP 1 Benchmark'!$D$3='STEP 1 Benchmark'!$Q$5,'data for graph'!M58,'STEP 1 Benchmark'!$D$3='STEP 1 Benchmark'!$Q$7,'data for graph'!L58)</f>
        <v>214.43359952676721</v>
      </c>
      <c r="P58" s="409"/>
      <c r="Q58" s="220">
        <v>434.66449334419997</v>
      </c>
      <c r="R58" s="223">
        <f>Q58*'STEP 1 Benchmark'!$L$11</f>
        <v>186.28478286179998</v>
      </c>
      <c r="S58" s="223" t="e">
        <f>Q58*'STEP 1 Benchmark'!$L$11/'STEP 2 Detailed analysis'!$AD$23</f>
        <v>#DIV/0!</v>
      </c>
      <c r="T58" cm="1">
        <f t="array" ref="T58">_xlfn.IFS('STEP 1 Benchmark'!$D$3='STEP 1 Benchmark'!$Q$5,'data for graph'!S58,'STEP 1 Benchmark'!$D$3='STEP 1 Benchmark'!$Q$7,'data for graph'!R58)</f>
        <v>186.28478286179998</v>
      </c>
    </row>
    <row r="59" spans="10:31" x14ac:dyDescent="0.25">
      <c r="J59" s="222" t="s">
        <v>534</v>
      </c>
      <c r="K59" s="220">
        <v>524.69135802469134</v>
      </c>
      <c r="L59" s="223">
        <f>K59*'STEP 1 Benchmark'!$L$11</f>
        <v>224.86772486772486</v>
      </c>
      <c r="M59" s="223" t="e">
        <f>K59*'STEP 1 Benchmark'!$L$11/'STEP 2 Detailed analysis'!$AD$23</f>
        <v>#DIV/0!</v>
      </c>
      <c r="N59" cm="1">
        <f t="array" ref="N59">_xlfn.IFS('STEP 1 Benchmark'!$D$3='STEP 1 Benchmark'!$Q$5,'data for graph'!M59,'STEP 1 Benchmark'!$D$3='STEP 1 Benchmark'!$Q$7,'data for graph'!L59)</f>
        <v>224.86772486772486</v>
      </c>
      <c r="P59" s="409"/>
      <c r="Q59" s="220">
        <v>445.6654456654457</v>
      </c>
      <c r="R59" s="223">
        <f>Q59*'STEP 1 Benchmark'!$L$11</f>
        <v>190.99947671376242</v>
      </c>
      <c r="S59" s="223" t="e">
        <f>Q59*'STEP 1 Benchmark'!$L$11/'STEP 2 Detailed analysis'!$AD$23</f>
        <v>#DIV/0!</v>
      </c>
      <c r="T59" cm="1">
        <f t="array" ref="T59">_xlfn.IFS('STEP 1 Benchmark'!$D$3='STEP 1 Benchmark'!$Q$5,'data for graph'!S59,'STEP 1 Benchmark'!$D$3='STEP 1 Benchmark'!$Q$7,'data for graph'!R59)</f>
        <v>190.99947671376242</v>
      </c>
    </row>
    <row r="60" spans="10:31" x14ac:dyDescent="0.25">
      <c r="J60" s="222" t="s">
        <v>534</v>
      </c>
      <c r="K60" s="220">
        <v>526.31578947368416</v>
      </c>
      <c r="L60" s="223">
        <f>K60*'STEP 1 Benchmark'!$L$11</f>
        <v>225.56390977443607</v>
      </c>
      <c r="M60" s="223" t="e">
        <f>K60*'STEP 1 Benchmark'!$L$11/'STEP 2 Detailed analysis'!$AD$23</f>
        <v>#DIV/0!</v>
      </c>
      <c r="N60" cm="1">
        <f t="array" ref="N60">_xlfn.IFS('STEP 1 Benchmark'!$D$3='STEP 1 Benchmark'!$Q$5,'data for graph'!M60,'STEP 1 Benchmark'!$D$3='STEP 1 Benchmark'!$Q$7,'data for graph'!L60)</f>
        <v>225.56390977443607</v>
      </c>
      <c r="P60" s="409"/>
      <c r="Q60" s="220">
        <v>473.98589065255732</v>
      </c>
      <c r="R60" s="223">
        <f>Q60*'STEP 1 Benchmark'!$L$11</f>
        <v>203.1368102796674</v>
      </c>
      <c r="S60" s="223" t="e">
        <f>Q60*'STEP 1 Benchmark'!$L$11/'STEP 2 Detailed analysis'!$AD$23</f>
        <v>#DIV/0!</v>
      </c>
      <c r="T60" cm="1">
        <f t="array" ref="T60">_xlfn.IFS('STEP 1 Benchmark'!$D$3='STEP 1 Benchmark'!$Q$5,'data for graph'!S60,'STEP 1 Benchmark'!$D$3='STEP 1 Benchmark'!$Q$7,'data for graph'!R60)</f>
        <v>203.1368102796674</v>
      </c>
    </row>
    <row r="61" spans="10:31" x14ac:dyDescent="0.25">
      <c r="J61" s="222" t="s">
        <v>534</v>
      </c>
      <c r="K61" s="220">
        <v>535.71428571428567</v>
      </c>
      <c r="L61" s="223">
        <f>K61*'STEP 1 Benchmark'!$L$11</f>
        <v>229.59183673469386</v>
      </c>
      <c r="M61" s="223" t="e">
        <f>K61*'STEP 1 Benchmark'!$L$11/'STEP 2 Detailed analysis'!$AD$23</f>
        <v>#DIV/0!</v>
      </c>
      <c r="N61" cm="1">
        <f t="array" ref="N61">_xlfn.IFS('STEP 1 Benchmark'!$D$3='STEP 1 Benchmark'!$Q$5,'data for graph'!M61,'STEP 1 Benchmark'!$D$3='STEP 1 Benchmark'!$Q$7,'data for graph'!L61)</f>
        <v>229.59183673469386</v>
      </c>
      <c r="P61" s="409"/>
      <c r="Q61" s="220">
        <v>498.57549857549856</v>
      </c>
      <c r="R61" s="223">
        <f>Q61*'STEP 1 Benchmark'!$L$11</f>
        <v>213.67521367521366</v>
      </c>
      <c r="S61" s="223" t="e">
        <f>Q61*'STEP 1 Benchmark'!$L$11/'STEP 2 Detailed analysis'!$AD$23</f>
        <v>#DIV/0!</v>
      </c>
      <c r="T61" cm="1">
        <f t="array" ref="T61">_xlfn.IFS('STEP 1 Benchmark'!$D$3='STEP 1 Benchmark'!$Q$5,'data for graph'!S61,'STEP 1 Benchmark'!$D$3='STEP 1 Benchmark'!$Q$7,'data for graph'!R61)</f>
        <v>213.67521367521366</v>
      </c>
    </row>
    <row r="62" spans="10:31" x14ac:dyDescent="0.25">
      <c r="J62" s="222" t="s">
        <v>534</v>
      </c>
      <c r="K62" s="220">
        <v>540.54054054054052</v>
      </c>
      <c r="L62" s="223">
        <f>K62*'STEP 1 Benchmark'!$L$11</f>
        <v>231.66023166023163</v>
      </c>
      <c r="M62" s="223" t="e">
        <f>K62*'STEP 1 Benchmark'!$L$11/'STEP 2 Detailed analysis'!$AD$23</f>
        <v>#DIV/0!</v>
      </c>
      <c r="N62" cm="1">
        <f t="array" ref="N62">_xlfn.IFS('STEP 1 Benchmark'!$D$3='STEP 1 Benchmark'!$Q$5,'data for graph'!M62,'STEP 1 Benchmark'!$D$3='STEP 1 Benchmark'!$Q$7,'data for graph'!L62)</f>
        <v>231.66023166023163</v>
      </c>
      <c r="P62" s="409"/>
      <c r="Q62" s="220">
        <v>500.34506556245685</v>
      </c>
      <c r="R62" s="223">
        <f>Q62*'STEP 1 Benchmark'!$L$11</f>
        <v>214.43359952676721</v>
      </c>
      <c r="S62" s="223" t="e">
        <f>Q62*'STEP 1 Benchmark'!$L$11/'STEP 2 Detailed analysis'!$AD$23</f>
        <v>#DIV/0!</v>
      </c>
      <c r="T62" cm="1">
        <f t="array" ref="T62">_xlfn.IFS('STEP 1 Benchmark'!$D$3='STEP 1 Benchmark'!$Q$5,'data for graph'!S62,'STEP 1 Benchmark'!$D$3='STEP 1 Benchmark'!$Q$7,'data for graph'!R62)</f>
        <v>214.43359952676721</v>
      </c>
    </row>
    <row r="63" spans="10:31" x14ac:dyDescent="0.25">
      <c r="J63" s="222" t="s">
        <v>537</v>
      </c>
      <c r="K63" s="220">
        <v>543.47826086956513</v>
      </c>
      <c r="L63" s="223">
        <f>K63*'STEP 1 Benchmark'!$L$11</f>
        <v>232.91925465838506</v>
      </c>
      <c r="M63" s="223" t="e">
        <f>K63*'STEP 1 Benchmark'!$L$11/'STEP 2 Detailed analysis'!$AD$23</f>
        <v>#DIV/0!</v>
      </c>
      <c r="N63" cm="1">
        <f t="array" ref="N63">_xlfn.IFS('STEP 1 Benchmark'!$D$3='STEP 1 Benchmark'!$Q$5,'data for graph'!M63,'STEP 1 Benchmark'!$D$3='STEP 1 Benchmark'!$Q$7,'data for graph'!L63)</f>
        <v>232.91925465838506</v>
      </c>
      <c r="P63" s="409"/>
      <c r="Q63" s="220">
        <v>524.69135802469134</v>
      </c>
      <c r="R63" s="223">
        <f>Q63*'STEP 1 Benchmark'!$L$11</f>
        <v>224.86772486772486</v>
      </c>
      <c r="S63" s="223" t="e">
        <f>Q63*'STEP 1 Benchmark'!$L$11/'STEP 2 Detailed analysis'!$AD$23</f>
        <v>#DIV/0!</v>
      </c>
      <c r="T63" cm="1">
        <f t="array" ref="T63">_xlfn.IFS('STEP 1 Benchmark'!$D$3='STEP 1 Benchmark'!$Q$5,'data for graph'!S63,'STEP 1 Benchmark'!$D$3='STEP 1 Benchmark'!$Q$7,'data for graph'!R63)</f>
        <v>224.86772486772486</v>
      </c>
    </row>
    <row r="64" spans="10:31" x14ac:dyDescent="0.25">
      <c r="J64" s="222" t="s">
        <v>534</v>
      </c>
      <c r="K64" s="220">
        <v>546.73721340387999</v>
      </c>
      <c r="L64" s="223">
        <f>K64*'STEP 1 Benchmark'!$L$11</f>
        <v>234.31594860166285</v>
      </c>
      <c r="M64" s="223" t="e">
        <f>K64*'STEP 1 Benchmark'!$L$11/'STEP 2 Detailed analysis'!$AD$23</f>
        <v>#DIV/0!</v>
      </c>
      <c r="N64" cm="1">
        <f t="array" ref="N64">_xlfn.IFS('STEP 1 Benchmark'!$D$3='STEP 1 Benchmark'!$Q$5,'data for graph'!M64,'STEP 1 Benchmark'!$D$3='STEP 1 Benchmark'!$Q$7,'data for graph'!L64)</f>
        <v>234.31594860166285</v>
      </c>
      <c r="P64" s="409"/>
      <c r="Q64" s="220">
        <v>526.31578947368416</v>
      </c>
      <c r="R64" s="223">
        <f>Q64*'STEP 1 Benchmark'!$L$11</f>
        <v>225.56390977443607</v>
      </c>
      <c r="S64" s="223" t="e">
        <f>Q64*'STEP 1 Benchmark'!$L$11/'STEP 2 Detailed analysis'!$AD$23</f>
        <v>#DIV/0!</v>
      </c>
      <c r="T64" cm="1">
        <f t="array" ref="T64">_xlfn.IFS('STEP 1 Benchmark'!$D$3='STEP 1 Benchmark'!$Q$5,'data for graph'!S64,'STEP 1 Benchmark'!$D$3='STEP 1 Benchmark'!$Q$7,'data for graph'!R64)</f>
        <v>225.56390977443607</v>
      </c>
    </row>
    <row r="65" spans="10:20" x14ac:dyDescent="0.25">
      <c r="J65" s="222" t="s">
        <v>534</v>
      </c>
      <c r="K65" s="220">
        <v>555.55555555555554</v>
      </c>
      <c r="L65" s="223">
        <f>K65*'STEP 1 Benchmark'!$L$11</f>
        <v>238.09523809523807</v>
      </c>
      <c r="M65" s="223" t="e">
        <f>K65*'STEP 1 Benchmark'!$L$11/'STEP 2 Detailed analysis'!$AD$23</f>
        <v>#DIV/0!</v>
      </c>
      <c r="N65" cm="1">
        <f t="array" ref="N65">_xlfn.IFS('STEP 1 Benchmark'!$D$3='STEP 1 Benchmark'!$Q$5,'data for graph'!M65,'STEP 1 Benchmark'!$D$3='STEP 1 Benchmark'!$Q$7,'data for graph'!L65)</f>
        <v>238.09523809523807</v>
      </c>
      <c r="P65" s="409"/>
      <c r="Q65" s="220">
        <v>535.71428571428567</v>
      </c>
      <c r="R65" s="223">
        <f>Q65*'STEP 1 Benchmark'!$L$11</f>
        <v>229.59183673469386</v>
      </c>
      <c r="S65" s="223" t="e">
        <f>Q65*'STEP 1 Benchmark'!$L$11/'STEP 2 Detailed analysis'!$AD$23</f>
        <v>#DIV/0!</v>
      </c>
      <c r="T65" cm="1">
        <f t="array" ref="T65">_xlfn.IFS('STEP 1 Benchmark'!$D$3='STEP 1 Benchmark'!$Q$5,'data for graph'!S65,'STEP 1 Benchmark'!$D$3='STEP 1 Benchmark'!$Q$7,'data for graph'!R65)</f>
        <v>229.59183673469386</v>
      </c>
    </row>
    <row r="66" spans="10:20" x14ac:dyDescent="0.25">
      <c r="J66" s="222" t="s">
        <v>538</v>
      </c>
      <c r="K66" s="220">
        <v>571.42857142857144</v>
      </c>
      <c r="L66" s="223">
        <f>K66*'STEP 1 Benchmark'!$L$11</f>
        <v>244.89795918367346</v>
      </c>
      <c r="M66" s="223" t="e">
        <f>K66*'STEP 1 Benchmark'!$L$11/'STEP 2 Detailed analysis'!$AD$23</f>
        <v>#DIV/0!</v>
      </c>
      <c r="N66" cm="1">
        <f t="array" ref="N66">_xlfn.IFS('STEP 1 Benchmark'!$D$3='STEP 1 Benchmark'!$Q$5,'data for graph'!M66,'STEP 1 Benchmark'!$D$3='STEP 1 Benchmark'!$Q$7,'data for graph'!L66)</f>
        <v>244.89795918367346</v>
      </c>
      <c r="P66" s="409"/>
      <c r="Q66" s="220">
        <v>540.54054054054052</v>
      </c>
      <c r="R66" s="223">
        <f>Q66*'STEP 1 Benchmark'!$L$11</f>
        <v>231.66023166023163</v>
      </c>
      <c r="S66" s="223" t="e">
        <f>Q66*'STEP 1 Benchmark'!$L$11/'STEP 2 Detailed analysis'!$AD$23</f>
        <v>#DIV/0!</v>
      </c>
      <c r="T66" cm="1">
        <f t="array" ref="T66">_xlfn.IFS('STEP 1 Benchmark'!$D$3='STEP 1 Benchmark'!$Q$5,'data for graph'!S66,'STEP 1 Benchmark'!$D$3='STEP 1 Benchmark'!$Q$7,'data for graph'!R66)</f>
        <v>231.66023166023163</v>
      </c>
    </row>
    <row r="67" spans="10:20" x14ac:dyDescent="0.25">
      <c r="J67" s="222" t="s">
        <v>532</v>
      </c>
      <c r="K67" s="220">
        <v>571.89542483660136</v>
      </c>
      <c r="L67" s="223">
        <f>K67*'STEP 1 Benchmark'!$L$11</f>
        <v>245.0980392156863</v>
      </c>
      <c r="M67" s="223" t="e">
        <f>K67*'STEP 1 Benchmark'!$L$11/'STEP 2 Detailed analysis'!$AD$23</f>
        <v>#DIV/0!</v>
      </c>
      <c r="N67" cm="1">
        <f t="array" ref="N67">_xlfn.IFS('STEP 1 Benchmark'!$D$3='STEP 1 Benchmark'!$Q$5,'data for graph'!M67,'STEP 1 Benchmark'!$D$3='STEP 1 Benchmark'!$Q$7,'data for graph'!L67)</f>
        <v>245.0980392156863</v>
      </c>
      <c r="P67" s="409"/>
      <c r="Q67" s="220">
        <v>546.73721340387999</v>
      </c>
      <c r="R67" s="223">
        <f>Q67*'STEP 1 Benchmark'!$L$11</f>
        <v>234.31594860166285</v>
      </c>
      <c r="S67" s="223" t="e">
        <f>Q67*'STEP 1 Benchmark'!$L$11/'STEP 2 Detailed analysis'!$AD$23</f>
        <v>#DIV/0!</v>
      </c>
      <c r="T67" cm="1">
        <f t="array" ref="T67">_xlfn.IFS('STEP 1 Benchmark'!$D$3='STEP 1 Benchmark'!$Q$5,'data for graph'!S67,'STEP 1 Benchmark'!$D$3='STEP 1 Benchmark'!$Q$7,'data for graph'!R67)</f>
        <v>234.31594860166285</v>
      </c>
    </row>
    <row r="68" spans="10:20" x14ac:dyDescent="0.25">
      <c r="J68" s="222" t="s">
        <v>534</v>
      </c>
      <c r="K68" s="220">
        <v>609.77564102564099</v>
      </c>
      <c r="L68" s="223">
        <f>K68*'STEP 1 Benchmark'!$L$11</f>
        <v>261.33241758241758</v>
      </c>
      <c r="M68" s="223" t="e">
        <f>K68*'STEP 1 Benchmark'!$L$11/'STEP 2 Detailed analysis'!$AD$23</f>
        <v>#DIV/0!</v>
      </c>
      <c r="N68" cm="1">
        <f t="array" ref="N68">_xlfn.IFS('STEP 1 Benchmark'!$D$3='STEP 1 Benchmark'!$Q$5,'data for graph'!M68,'STEP 1 Benchmark'!$D$3='STEP 1 Benchmark'!$Q$7,'data for graph'!L68)</f>
        <v>261.33241758241758</v>
      </c>
      <c r="P68" s="409"/>
      <c r="Q68" s="220">
        <v>555.55555555555554</v>
      </c>
      <c r="R68" s="223">
        <f>Q68*'STEP 1 Benchmark'!$L$11</f>
        <v>238.09523809523807</v>
      </c>
      <c r="S68" s="223" t="e">
        <f>Q68*'STEP 1 Benchmark'!$L$11/'STEP 2 Detailed analysis'!$AD$23</f>
        <v>#DIV/0!</v>
      </c>
      <c r="T68" cm="1">
        <f t="array" ref="T68">_xlfn.IFS('STEP 1 Benchmark'!$D$3='STEP 1 Benchmark'!$Q$5,'data for graph'!S68,'STEP 1 Benchmark'!$D$3='STEP 1 Benchmark'!$Q$7,'data for graph'!R68)</f>
        <v>238.09523809523807</v>
      </c>
    </row>
    <row r="69" spans="10:20" x14ac:dyDescent="0.25">
      <c r="J69" s="222" t="s">
        <v>534</v>
      </c>
      <c r="K69" s="220">
        <v>616.66666666666674</v>
      </c>
      <c r="L69" s="223">
        <f>K69*'STEP 1 Benchmark'!$L$11</f>
        <v>264.28571428571428</v>
      </c>
      <c r="M69" s="223" t="e">
        <f>K69*'STEP 1 Benchmark'!$L$11/'STEP 2 Detailed analysis'!$AD$23</f>
        <v>#DIV/0!</v>
      </c>
      <c r="N69" cm="1">
        <f t="array" ref="N69">_xlfn.IFS('STEP 1 Benchmark'!$D$3='STEP 1 Benchmark'!$Q$5,'data for graph'!M69,'STEP 1 Benchmark'!$D$3='STEP 1 Benchmark'!$Q$7,'data for graph'!L69)</f>
        <v>264.28571428571428</v>
      </c>
      <c r="P69" s="409"/>
      <c r="Q69" s="220">
        <v>609.77564102564099</v>
      </c>
      <c r="R69" s="223">
        <f>Q69*'STEP 1 Benchmark'!$L$11</f>
        <v>261.33241758241758</v>
      </c>
      <c r="S69" s="223" t="e">
        <f>Q69*'STEP 1 Benchmark'!$L$11/'STEP 2 Detailed analysis'!$AD$23</f>
        <v>#DIV/0!</v>
      </c>
      <c r="T69" cm="1">
        <f t="array" ref="T69">_xlfn.IFS('STEP 1 Benchmark'!$D$3='STEP 1 Benchmark'!$Q$5,'data for graph'!S69,'STEP 1 Benchmark'!$D$3='STEP 1 Benchmark'!$Q$7,'data for graph'!R69)</f>
        <v>261.33241758241758</v>
      </c>
    </row>
    <row r="70" spans="10:20" x14ac:dyDescent="0.25">
      <c r="J70" s="222" t="s">
        <v>534</v>
      </c>
      <c r="K70" s="220">
        <v>622.89562289562286</v>
      </c>
      <c r="L70" s="223">
        <f>K70*'STEP 1 Benchmark'!$L$11</f>
        <v>266.95526695526695</v>
      </c>
      <c r="M70" s="223" t="e">
        <f>K70*'STEP 1 Benchmark'!$L$11/'STEP 2 Detailed analysis'!$AD$23</f>
        <v>#DIV/0!</v>
      </c>
      <c r="N70" cm="1">
        <f t="array" ref="N70">_xlfn.IFS('STEP 1 Benchmark'!$D$3='STEP 1 Benchmark'!$Q$5,'data for graph'!M70,'STEP 1 Benchmark'!$D$3='STEP 1 Benchmark'!$Q$7,'data for graph'!L70)</f>
        <v>266.95526695526695</v>
      </c>
      <c r="P70" s="409"/>
      <c r="Q70" s="220">
        <v>616.66666666666674</v>
      </c>
      <c r="R70" s="223">
        <f>Q70*'STEP 1 Benchmark'!$L$11</f>
        <v>264.28571428571428</v>
      </c>
      <c r="S70" s="223" t="e">
        <f>Q70*'STEP 1 Benchmark'!$L$11/'STEP 2 Detailed analysis'!$AD$23</f>
        <v>#DIV/0!</v>
      </c>
      <c r="T70" cm="1">
        <f t="array" ref="T70">_xlfn.IFS('STEP 1 Benchmark'!$D$3='STEP 1 Benchmark'!$Q$5,'data for graph'!S70,'STEP 1 Benchmark'!$D$3='STEP 1 Benchmark'!$Q$7,'data for graph'!R70)</f>
        <v>264.28571428571428</v>
      </c>
    </row>
    <row r="71" spans="10:20" x14ac:dyDescent="0.25">
      <c r="J71" s="222" t="s">
        <v>534</v>
      </c>
      <c r="K71" s="220">
        <v>676.16959064327489</v>
      </c>
      <c r="L71" s="223">
        <f>K71*'STEP 1 Benchmark'!$L$11</f>
        <v>289.78696741854634</v>
      </c>
      <c r="M71" s="223" t="e">
        <f>K71*'STEP 1 Benchmark'!$L$11/'STEP 2 Detailed analysis'!$AD$23</f>
        <v>#DIV/0!</v>
      </c>
      <c r="N71" cm="1">
        <f t="array" ref="N71">_xlfn.IFS('STEP 1 Benchmark'!$D$3='STEP 1 Benchmark'!$Q$5,'data for graph'!M71,'STEP 1 Benchmark'!$D$3='STEP 1 Benchmark'!$Q$7,'data for graph'!L71)</f>
        <v>289.78696741854634</v>
      </c>
      <c r="P71" s="409"/>
      <c r="Q71" s="220">
        <v>622.89562289562286</v>
      </c>
      <c r="R71" s="223">
        <f>Q71*'STEP 1 Benchmark'!$L$11</f>
        <v>266.95526695526695</v>
      </c>
      <c r="S71" s="223" t="e">
        <f>Q71*'STEP 1 Benchmark'!$L$11/'STEP 2 Detailed analysis'!$AD$23</f>
        <v>#DIV/0!</v>
      </c>
      <c r="T71" cm="1">
        <f t="array" ref="T71">_xlfn.IFS('STEP 1 Benchmark'!$D$3='STEP 1 Benchmark'!$Q$5,'data for graph'!S71,'STEP 1 Benchmark'!$D$3='STEP 1 Benchmark'!$Q$7,'data for graph'!R71)</f>
        <v>266.95526695526695</v>
      </c>
    </row>
    <row r="72" spans="10:20" x14ac:dyDescent="0.25">
      <c r="J72" s="222" t="s">
        <v>528</v>
      </c>
      <c r="K72" s="220">
        <v>735.29411764705878</v>
      </c>
      <c r="L72" s="223">
        <f>K72*'STEP 1 Benchmark'!$L$11</f>
        <v>315.12605042016804</v>
      </c>
      <c r="M72" s="223" t="e">
        <f>K72*'STEP 1 Benchmark'!$L$11/'STEP 2 Detailed analysis'!$AD$23</f>
        <v>#DIV/0!</v>
      </c>
      <c r="N72" cm="1">
        <f t="array" ref="N72">_xlfn.IFS('STEP 1 Benchmark'!$D$3='STEP 1 Benchmark'!$Q$5,'data for graph'!M72,'STEP 1 Benchmark'!$D$3='STEP 1 Benchmark'!$Q$7,'data for graph'!L72)</f>
        <v>315.12605042016804</v>
      </c>
      <c r="P72" s="409"/>
      <c r="Q72" s="220">
        <v>676.16959064327489</v>
      </c>
      <c r="R72" s="223">
        <f>Q72*'STEP 1 Benchmark'!$L$11</f>
        <v>289.78696741854634</v>
      </c>
      <c r="S72" s="223" t="e">
        <f>Q72*'STEP 1 Benchmark'!$L$11/'STEP 2 Detailed analysis'!$AD$23</f>
        <v>#DIV/0!</v>
      </c>
      <c r="T72" cm="1">
        <f t="array" ref="T72">_xlfn.IFS('STEP 1 Benchmark'!$D$3='STEP 1 Benchmark'!$Q$5,'data for graph'!S72,'STEP 1 Benchmark'!$D$3='STEP 1 Benchmark'!$Q$7,'data for graph'!R72)</f>
        <v>289.78696741854634</v>
      </c>
    </row>
    <row r="73" spans="10:20" x14ac:dyDescent="0.25">
      <c r="J73" s="222" t="s">
        <v>532</v>
      </c>
      <c r="K73" s="220">
        <v>740.74074074074065</v>
      </c>
      <c r="L73" s="223">
        <f>K73*'STEP 1 Benchmark'!$L$11</f>
        <v>317.46031746031741</v>
      </c>
      <c r="M73" s="223" t="e">
        <f>K73*'STEP 1 Benchmark'!$L$11/'STEP 2 Detailed analysis'!$AD$23</f>
        <v>#DIV/0!</v>
      </c>
      <c r="N73" cm="1">
        <f t="array" ref="N73">_xlfn.IFS('STEP 1 Benchmark'!$D$3='STEP 1 Benchmark'!$Q$5,'data for graph'!M73,'STEP 1 Benchmark'!$D$3='STEP 1 Benchmark'!$Q$7,'data for graph'!L73)</f>
        <v>317.46031746031741</v>
      </c>
      <c r="P73" s="222" t="s">
        <v>531</v>
      </c>
      <c r="Q73" s="220">
        <v>219.46564885496184</v>
      </c>
      <c r="R73" s="223">
        <f>Q73*'STEP 1 Benchmark'!$L$11</f>
        <v>94.056706652126493</v>
      </c>
      <c r="S73" s="223" t="e">
        <f>Q73*'STEP 1 Benchmark'!$L$11/'STEP 2 Detailed analysis'!$AD$23</f>
        <v>#DIV/0!</v>
      </c>
      <c r="T73" cm="1">
        <f t="array" ref="T73">_xlfn.IFS('STEP 1 Benchmark'!$D$3='STEP 1 Benchmark'!$Q$5,'data for graph'!S73,'STEP 1 Benchmark'!$D$3='STEP 1 Benchmark'!$Q$7,'data for graph'!R73)</f>
        <v>94.056706652126493</v>
      </c>
    </row>
  </sheetData>
  <mergeCells count="11">
    <mergeCell ref="P16:P17"/>
    <mergeCell ref="P3:T3"/>
    <mergeCell ref="V3:Z3"/>
    <mergeCell ref="AA3:AD3"/>
    <mergeCell ref="P6:P12"/>
    <mergeCell ref="P13:P15"/>
    <mergeCell ref="P18:P24"/>
    <mergeCell ref="P25:P45"/>
    <mergeCell ref="P47:P54"/>
    <mergeCell ref="P55:P56"/>
    <mergeCell ref="P57:P72"/>
  </mergeCells>
  <conditionalFormatting sqref="AE6:AE8">
    <cfRule type="colorScale" priority="5">
      <colorScale>
        <cfvo type="min"/>
        <cfvo type="percentile" val="50"/>
        <cfvo type="max"/>
        <color rgb="FFF8696B"/>
        <color rgb="FFFFEB84"/>
        <color rgb="FF63BE7B"/>
      </colorScale>
    </cfRule>
  </conditionalFormatting>
  <conditionalFormatting sqref="AE9:AE13">
    <cfRule type="colorScale" priority="4">
      <colorScale>
        <cfvo type="min"/>
        <cfvo type="percentile" val="50"/>
        <cfvo type="max"/>
        <color rgb="FFF8696B"/>
        <color rgb="FFFFEB84"/>
        <color rgb="FF63BE7B"/>
      </colorScale>
    </cfRule>
  </conditionalFormatting>
  <conditionalFormatting sqref="AE14:AE30">
    <cfRule type="colorScale" priority="3">
      <colorScale>
        <cfvo type="min"/>
        <cfvo type="percentile" val="50"/>
        <cfvo type="max"/>
        <color rgb="FFF8696B"/>
        <color rgb="FFFFEB84"/>
        <color rgb="FF63BE7B"/>
      </colorScale>
    </cfRule>
  </conditionalFormatting>
  <conditionalFormatting sqref="AE31">
    <cfRule type="colorScale" priority="2">
      <colorScale>
        <cfvo type="min"/>
        <cfvo type="percentile" val="50"/>
        <cfvo type="max"/>
        <color rgb="FFF8696B"/>
        <color rgb="FFFFEB84"/>
        <color rgb="FF63BE7B"/>
      </colorScale>
    </cfRule>
  </conditionalFormatting>
  <conditionalFormatting sqref="AE32:AE41">
    <cfRule type="colorScale" priority="6">
      <colorScale>
        <cfvo type="min"/>
        <cfvo type="percentile" val="50"/>
        <cfvo type="max"/>
        <color rgb="FFF8696B"/>
        <color rgb="FFFFEB84"/>
        <color rgb="FF63BE7B"/>
      </colorScale>
    </cfRule>
  </conditionalFormatting>
  <conditionalFormatting sqref="AE42">
    <cfRule type="colorScale" priority="1">
      <colorScale>
        <cfvo type="min"/>
        <cfvo type="percentile" val="50"/>
        <cfvo type="max"/>
        <color rgb="FFF8696B"/>
        <color rgb="FFFFEB84"/>
        <color rgb="FF63BE7B"/>
      </colorScale>
    </cfRule>
  </conditionalFormatting>
  <conditionalFormatting sqref="AE43:AE48">
    <cfRule type="colorScale" priority="7">
      <colorScale>
        <cfvo type="min"/>
        <cfvo type="percentile" val="50"/>
        <cfvo type="max"/>
        <color rgb="FFF8696B"/>
        <color rgb="FFFFEB84"/>
        <color rgb="FF63BE7B"/>
      </colorScale>
    </cfRule>
  </conditionalFormatting>
  <conditionalFormatting sqref="AE49:AE53">
    <cfRule type="colorScale" priority="8">
      <colorScale>
        <cfvo type="min"/>
        <cfvo type="percentile" val="50"/>
        <cfvo type="max"/>
        <color rgb="FFF8696B"/>
        <color rgb="FFFFEB84"/>
        <color rgb="FF63BE7B"/>
      </colorScale>
    </cfRule>
  </conditionalFormatting>
  <pageMargins left="0.7" right="0.7" top="0.75" bottom="0.75" header="0.3" footer="0.3"/>
  <pageSetup paperSize="9" orientation="portrait" horizontalDpi="90" verticalDpi="90" r:id="rId1"/>
  <headerFooter>
    <oddHeader>&amp;C&amp;"Calibri"&amp;12&amp;K000000UNOFFICIAL&amp;1#</oddHeader>
    <oddFooter>&amp;C&amp;1#&amp;"Calibri"&amp;12&amp;K000000UNOFFICIAL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B16B1-76B7-42C1-BA1D-228BCE28D51A}">
  <dimension ref="A1:B53"/>
  <sheetViews>
    <sheetView workbookViewId="0">
      <selection sqref="A1:B1"/>
    </sheetView>
  </sheetViews>
  <sheetFormatPr defaultRowHeight="15" x14ac:dyDescent="0.25"/>
  <cols>
    <col min="2" max="2" width="90.28515625" customWidth="1"/>
  </cols>
  <sheetData>
    <row r="1" spans="1:2" x14ac:dyDescent="0.25">
      <c r="A1" s="411" t="s">
        <v>274</v>
      </c>
      <c r="B1" s="411"/>
    </row>
    <row r="2" spans="1:2" x14ac:dyDescent="0.25">
      <c r="A2" s="18">
        <v>1</v>
      </c>
      <c r="B2" s="17" t="s">
        <v>271</v>
      </c>
    </row>
    <row r="3" spans="1:2" x14ac:dyDescent="0.25">
      <c r="A3" s="18">
        <v>2</v>
      </c>
      <c r="B3" s="17" t="s">
        <v>272</v>
      </c>
    </row>
    <row r="4" spans="1:2" x14ac:dyDescent="0.25">
      <c r="A4" s="18">
        <v>3</v>
      </c>
      <c r="B4" s="17" t="s">
        <v>246</v>
      </c>
    </row>
    <row r="5" spans="1:2" x14ac:dyDescent="0.25">
      <c r="A5" s="18">
        <v>4</v>
      </c>
      <c r="B5" s="17" t="s">
        <v>247</v>
      </c>
    </row>
    <row r="6" spans="1:2" x14ac:dyDescent="0.25">
      <c r="A6" s="18">
        <v>5</v>
      </c>
      <c r="B6" s="17" t="s">
        <v>254</v>
      </c>
    </row>
    <row r="7" spans="1:2" x14ac:dyDescent="0.25">
      <c r="A7" s="18">
        <v>6</v>
      </c>
      <c r="B7" s="17" t="s">
        <v>250</v>
      </c>
    </row>
    <row r="8" spans="1:2" x14ac:dyDescent="0.25">
      <c r="A8" s="18">
        <v>7</v>
      </c>
      <c r="B8" s="17" t="s">
        <v>275</v>
      </c>
    </row>
    <row r="9" spans="1:2" x14ac:dyDescent="0.25">
      <c r="A9" s="18">
        <v>8</v>
      </c>
      <c r="B9" s="17" t="s">
        <v>273</v>
      </c>
    </row>
    <row r="10" spans="1:2" x14ac:dyDescent="0.25">
      <c r="A10" s="18">
        <v>9</v>
      </c>
      <c r="B10" s="17" t="s">
        <v>276</v>
      </c>
    </row>
    <row r="12" spans="1:2" x14ac:dyDescent="0.25">
      <c r="A12" s="411" t="s">
        <v>277</v>
      </c>
      <c r="B12" s="411"/>
    </row>
    <row r="13" spans="1:2" x14ac:dyDescent="0.25">
      <c r="A13" s="18">
        <v>1</v>
      </c>
      <c r="B13" s="17" t="s">
        <v>269</v>
      </c>
    </row>
    <row r="14" spans="1:2" x14ac:dyDescent="0.25">
      <c r="A14" s="18">
        <v>2</v>
      </c>
      <c r="B14" s="17" t="s">
        <v>270</v>
      </c>
    </row>
    <row r="15" spans="1:2" x14ac:dyDescent="0.25">
      <c r="A15" s="18">
        <v>3</v>
      </c>
      <c r="B15" s="17" t="s">
        <v>248</v>
      </c>
    </row>
    <row r="16" spans="1:2" x14ac:dyDescent="0.25">
      <c r="A16" s="18">
        <v>4</v>
      </c>
      <c r="B16" s="17" t="s">
        <v>252</v>
      </c>
    </row>
    <row r="17" spans="1:2" x14ac:dyDescent="0.25">
      <c r="A17" s="18">
        <v>5</v>
      </c>
      <c r="B17" s="17" t="s">
        <v>249</v>
      </c>
    </row>
    <row r="18" spans="1:2" x14ac:dyDescent="0.25">
      <c r="A18" s="18">
        <v>6</v>
      </c>
      <c r="B18" s="17" t="s">
        <v>278</v>
      </c>
    </row>
    <row r="19" spans="1:2" x14ac:dyDescent="0.25">
      <c r="A19" s="18">
        <v>7</v>
      </c>
      <c r="B19" s="17" t="s">
        <v>255</v>
      </c>
    </row>
    <row r="20" spans="1:2" x14ac:dyDescent="0.25">
      <c r="A20" s="18">
        <v>8</v>
      </c>
      <c r="B20" s="17" t="s">
        <v>279</v>
      </c>
    </row>
    <row r="21" spans="1:2" x14ac:dyDescent="0.25">
      <c r="A21" s="18">
        <v>9</v>
      </c>
      <c r="B21" s="17" t="s">
        <v>250</v>
      </c>
    </row>
    <row r="22" spans="1:2" x14ac:dyDescent="0.25">
      <c r="A22" s="18">
        <v>10</v>
      </c>
      <c r="B22" s="17" t="s">
        <v>256</v>
      </c>
    </row>
    <row r="24" spans="1:2" x14ac:dyDescent="0.25">
      <c r="A24" s="411" t="s">
        <v>251</v>
      </c>
      <c r="B24" s="411"/>
    </row>
    <row r="25" spans="1:2" x14ac:dyDescent="0.25">
      <c r="A25" s="17" t="s">
        <v>267</v>
      </c>
    </row>
    <row r="26" spans="1:2" x14ac:dyDescent="0.25">
      <c r="A26" s="17" t="s">
        <v>268</v>
      </c>
    </row>
    <row r="27" spans="1:2" x14ac:dyDescent="0.25">
      <c r="A27" s="17" t="s">
        <v>257</v>
      </c>
    </row>
    <row r="28" spans="1:2" x14ac:dyDescent="0.25">
      <c r="A28" s="17" t="s">
        <v>252</v>
      </c>
    </row>
    <row r="29" spans="1:2" x14ac:dyDescent="0.25">
      <c r="A29" s="17" t="s">
        <v>249</v>
      </c>
    </row>
    <row r="30" spans="1:2" x14ac:dyDescent="0.25">
      <c r="A30" s="17" t="s">
        <v>278</v>
      </c>
    </row>
    <row r="31" spans="1:2" x14ac:dyDescent="0.25">
      <c r="A31" s="17" t="s">
        <v>255</v>
      </c>
    </row>
    <row r="32" spans="1:2" x14ac:dyDescent="0.25">
      <c r="A32" s="17" t="s">
        <v>280</v>
      </c>
    </row>
    <row r="33" spans="1:2" x14ac:dyDescent="0.25">
      <c r="A33" s="17" t="s">
        <v>258</v>
      </c>
    </row>
    <row r="34" spans="1:2" x14ac:dyDescent="0.25">
      <c r="A34" s="17" t="s">
        <v>259</v>
      </c>
    </row>
    <row r="35" spans="1:2" x14ac:dyDescent="0.25">
      <c r="A35" s="17" t="s">
        <v>260</v>
      </c>
    </row>
    <row r="37" spans="1:2" x14ac:dyDescent="0.25">
      <c r="A37" s="411" t="s">
        <v>281</v>
      </c>
      <c r="B37" s="411"/>
    </row>
    <row r="38" spans="1:2" x14ac:dyDescent="0.25">
      <c r="A38" s="17" t="s">
        <v>261</v>
      </c>
    </row>
    <row r="39" spans="1:2" x14ac:dyDescent="0.25">
      <c r="A39" s="17" t="s">
        <v>262</v>
      </c>
    </row>
    <row r="40" spans="1:2" x14ac:dyDescent="0.25">
      <c r="A40" s="17" t="s">
        <v>263</v>
      </c>
    </row>
    <row r="42" spans="1:2" x14ac:dyDescent="0.25">
      <c r="A42" s="411" t="s">
        <v>253</v>
      </c>
      <c r="B42" s="411"/>
    </row>
    <row r="43" spans="1:2" x14ac:dyDescent="0.25">
      <c r="A43" s="18">
        <v>1</v>
      </c>
      <c r="B43" s="17" t="s">
        <v>264</v>
      </c>
    </row>
    <row r="44" spans="1:2" x14ac:dyDescent="0.25">
      <c r="A44" s="18">
        <v>2</v>
      </c>
      <c r="B44" s="17" t="s">
        <v>282</v>
      </c>
    </row>
    <row r="45" spans="1:2" x14ac:dyDescent="0.25">
      <c r="A45" s="18">
        <v>3</v>
      </c>
      <c r="B45" s="17" t="s">
        <v>258</v>
      </c>
    </row>
    <row r="46" spans="1:2" x14ac:dyDescent="0.25">
      <c r="A46" s="18">
        <v>4</v>
      </c>
      <c r="B46" s="17" t="s">
        <v>265</v>
      </c>
    </row>
    <row r="47" spans="1:2" x14ac:dyDescent="0.25">
      <c r="A47" s="18">
        <v>5</v>
      </c>
      <c r="B47" s="17" t="s">
        <v>283</v>
      </c>
    </row>
    <row r="49" spans="1:2" x14ac:dyDescent="0.25">
      <c r="A49" s="411" t="s">
        <v>284</v>
      </c>
      <c r="B49" s="411"/>
    </row>
    <row r="50" spans="1:2" x14ac:dyDescent="0.25">
      <c r="A50" s="18">
        <v>1</v>
      </c>
      <c r="B50" s="17" t="s">
        <v>285</v>
      </c>
    </row>
    <row r="51" spans="1:2" x14ac:dyDescent="0.25">
      <c r="A51" s="18">
        <v>2</v>
      </c>
      <c r="B51" s="17" t="s">
        <v>286</v>
      </c>
    </row>
    <row r="52" spans="1:2" x14ac:dyDescent="0.25">
      <c r="A52" s="18">
        <v>3</v>
      </c>
      <c r="B52" s="17" t="s">
        <v>266</v>
      </c>
    </row>
    <row r="53" spans="1:2" x14ac:dyDescent="0.25">
      <c r="A53" s="18">
        <v>4</v>
      </c>
      <c r="B53" s="17" t="s">
        <v>287</v>
      </c>
    </row>
  </sheetData>
  <mergeCells count="6">
    <mergeCell ref="A49:B49"/>
    <mergeCell ref="A1:B1"/>
    <mergeCell ref="A12:B12"/>
    <mergeCell ref="A24:B24"/>
    <mergeCell ref="A37:B37"/>
    <mergeCell ref="A42:B42"/>
  </mergeCells>
  <pageMargins left="0.7" right="0.7" top="0.75" bottom="0.75" header="0.3" footer="0.3"/>
  <pageSetup paperSize="9" orientation="portrait" horizontalDpi="90" verticalDpi="90" r:id="rId1"/>
  <headerFooter>
    <oddHeader>&amp;C&amp;"Calibri"&amp;12&amp;K000000UNOFFICIAL&amp;1#</oddHeader>
    <oddFooter>&amp;C&amp;1#&amp;"Calibri"&amp;12&amp;K000000UNOFFICIAL</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996F5-AF28-41AC-A4B9-BCCBA3E63C77}">
  <sheetPr>
    <tabColor rgb="FF92D050"/>
  </sheetPr>
  <dimension ref="A1:AG37"/>
  <sheetViews>
    <sheetView showGridLines="0" workbookViewId="0">
      <selection activeCell="D18" sqref="D18"/>
    </sheetView>
  </sheetViews>
  <sheetFormatPr defaultRowHeight="15" x14ac:dyDescent="0.25"/>
  <cols>
    <col min="1" max="1" width="3.140625" customWidth="1"/>
    <col min="2" max="2" width="15.5703125" customWidth="1"/>
    <col min="3" max="3" width="17.28515625" customWidth="1"/>
    <col min="4" max="4" width="18.42578125" customWidth="1"/>
    <col min="5" max="5" width="2.42578125" customWidth="1"/>
    <col min="6" max="6" width="14.28515625" customWidth="1"/>
    <col min="7" max="7" width="13.85546875" customWidth="1"/>
    <col min="8" max="8" width="12.5703125" customWidth="1"/>
    <col min="9" max="9" width="7.5703125" customWidth="1"/>
    <col min="10" max="10" width="4.7109375" customWidth="1"/>
    <col min="11" max="11" width="25.28515625" customWidth="1"/>
    <col min="12" max="12" width="13.7109375" customWidth="1"/>
    <col min="13" max="13" width="11.85546875" customWidth="1"/>
    <col min="14" max="14" width="7.5703125" customWidth="1"/>
    <col min="15" max="15" width="136.28515625" customWidth="1"/>
    <col min="16" max="16" width="4.5703125" customWidth="1"/>
    <col min="17" max="17" width="14.85546875" bestFit="1" customWidth="1"/>
    <col min="18" max="18" width="10.140625" bestFit="1" customWidth="1"/>
    <col min="19" max="19" width="14" bestFit="1" customWidth="1"/>
    <col min="20" max="20" width="45.28515625" customWidth="1"/>
    <col min="21" max="21" width="26.28515625" customWidth="1"/>
    <col min="22" max="22" width="17.85546875" bestFit="1" customWidth="1"/>
    <col min="23" max="23" width="15.140625" customWidth="1"/>
  </cols>
  <sheetData>
    <row r="1" spans="1:33" ht="16.5" thickTop="1" thickBot="1" x14ac:dyDescent="0.3">
      <c r="A1" s="196"/>
      <c r="B1" s="197" t="s">
        <v>462</v>
      </c>
      <c r="C1" s="198"/>
      <c r="N1" s="186"/>
    </row>
    <row r="2" spans="1:33" ht="6.75" customHeight="1" thickTop="1" x14ac:dyDescent="0.25">
      <c r="U2" t="str">
        <f>VLOOKUP(B8,T5:U8,2,FALSE)</f>
        <v>Input</v>
      </c>
    </row>
    <row r="3" spans="1:33" ht="26.25" customHeight="1" x14ac:dyDescent="0.25">
      <c r="B3" s="363" t="s">
        <v>25</v>
      </c>
      <c r="C3" s="363"/>
      <c r="D3" s="199" t="s">
        <v>1</v>
      </c>
      <c r="F3" s="363" t="s">
        <v>55</v>
      </c>
      <c r="G3" s="363"/>
      <c r="H3" s="363"/>
      <c r="I3" s="363"/>
      <c r="K3" s="363" t="s">
        <v>463</v>
      </c>
      <c r="L3" s="363"/>
      <c r="M3" s="363"/>
      <c r="N3" s="363"/>
      <c r="Q3" t="s">
        <v>25</v>
      </c>
      <c r="R3" t="s">
        <v>464</v>
      </c>
      <c r="S3" t="s">
        <v>83</v>
      </c>
    </row>
    <row r="4" spans="1:33" ht="9" customHeight="1" x14ac:dyDescent="0.25">
      <c r="B4" s="200"/>
      <c r="C4" s="200"/>
      <c r="D4" s="201"/>
      <c r="F4" s="200"/>
      <c r="G4" s="200"/>
      <c r="H4" s="200"/>
      <c r="I4" s="200"/>
      <c r="K4" s="200"/>
      <c r="L4" s="200"/>
      <c r="M4" s="200"/>
      <c r="N4" s="200"/>
    </row>
    <row r="5" spans="1:33" x14ac:dyDescent="0.25">
      <c r="B5" s="364" t="s">
        <v>465</v>
      </c>
      <c r="C5" s="364"/>
      <c r="D5" s="362" t="s">
        <v>466</v>
      </c>
      <c r="F5" s="364" t="s">
        <v>467</v>
      </c>
      <c r="G5" s="364"/>
      <c r="H5" s="362" t="s">
        <v>466</v>
      </c>
      <c r="I5" s="362"/>
      <c r="K5" s="202"/>
      <c r="L5" s="203" t="s">
        <v>16</v>
      </c>
      <c r="M5" s="203" t="s">
        <v>468</v>
      </c>
      <c r="N5" s="202"/>
      <c r="Q5" t="s">
        <v>2</v>
      </c>
      <c r="R5" t="s">
        <v>466</v>
      </c>
      <c r="S5" t="str">
        <f>Q5&amp;R5</f>
        <v>DieselYes</v>
      </c>
      <c r="T5" t="s">
        <v>469</v>
      </c>
      <c r="U5" t="s">
        <v>0</v>
      </c>
      <c r="X5" s="360" t="s">
        <v>470</v>
      </c>
      <c r="Y5" s="360"/>
      <c r="Z5" s="360"/>
      <c r="AA5" s="360"/>
    </row>
    <row r="6" spans="1:33" x14ac:dyDescent="0.25">
      <c r="B6" s="364"/>
      <c r="C6" s="364"/>
      <c r="D6" s="362"/>
      <c r="F6" s="364"/>
      <c r="G6" s="364"/>
      <c r="H6" s="362"/>
      <c r="I6" s="362"/>
      <c r="K6" s="203" t="str">
        <f>D3</f>
        <v>Electricity</v>
      </c>
      <c r="L6" s="204">
        <f>SUM(S9:S20)</f>
        <v>60000</v>
      </c>
      <c r="M6" s="205">
        <f>SUM(T9:T20)</f>
        <v>140000</v>
      </c>
      <c r="N6" s="202" t="str">
        <f>VLOOKUP((D3),AE6:AF7,2, FALSE)</f>
        <v>kWh</v>
      </c>
      <c r="Q6" t="s">
        <v>2</v>
      </c>
      <c r="R6" t="s">
        <v>471</v>
      </c>
      <c r="S6" t="str">
        <f>Q6&amp;R6</f>
        <v>DieselNo</v>
      </c>
      <c r="T6" t="s">
        <v>472</v>
      </c>
      <c r="U6" t="s">
        <v>473</v>
      </c>
      <c r="V6" t="s">
        <v>474</v>
      </c>
      <c r="W6" t="s">
        <v>475</v>
      </c>
      <c r="X6" t="s">
        <v>88</v>
      </c>
      <c r="Y6" t="s">
        <v>476</v>
      </c>
      <c r="Z6" t="s">
        <v>477</v>
      </c>
      <c r="AA6" t="s">
        <v>478</v>
      </c>
      <c r="AB6" t="s">
        <v>471</v>
      </c>
      <c r="AD6" t="s">
        <v>6</v>
      </c>
      <c r="AE6" t="s">
        <v>2</v>
      </c>
      <c r="AF6" t="s">
        <v>398</v>
      </c>
      <c r="AG6" t="s">
        <v>479</v>
      </c>
    </row>
    <row r="7" spans="1:33" x14ac:dyDescent="0.25">
      <c r="K7" s="203" t="s">
        <v>480</v>
      </c>
      <c r="L7" s="206"/>
      <c r="M7" s="207">
        <f>IF(I11="ML", SUM(T26:T37),SUM(T26:T37)/1000)</f>
        <v>400</v>
      </c>
      <c r="N7" s="202" t="s">
        <v>6</v>
      </c>
      <c r="Q7" t="s">
        <v>1</v>
      </c>
      <c r="R7" t="s">
        <v>466</v>
      </c>
      <c r="S7" t="str">
        <f>Q7&amp;R7</f>
        <v>ElectricityYes</v>
      </c>
      <c r="T7" t="s">
        <v>481</v>
      </c>
      <c r="U7" t="s">
        <v>0</v>
      </c>
      <c r="V7" t="s">
        <v>476</v>
      </c>
      <c r="W7" t="s">
        <v>476</v>
      </c>
      <c r="X7">
        <v>1</v>
      </c>
      <c r="Y7" t="s">
        <v>482</v>
      </c>
      <c r="Z7" t="s">
        <v>483</v>
      </c>
      <c r="AA7" t="s">
        <v>484</v>
      </c>
      <c r="AB7" t="s">
        <v>485</v>
      </c>
      <c r="AD7" t="s">
        <v>380</v>
      </c>
      <c r="AE7" t="s">
        <v>1</v>
      </c>
      <c r="AF7" t="s">
        <v>381</v>
      </c>
      <c r="AG7" t="s">
        <v>486</v>
      </c>
    </row>
    <row r="8" spans="1:33" x14ac:dyDescent="0.25">
      <c r="B8" s="361" t="str">
        <f>VLOOKUP((D3&amp;D5),S5:T8,2, FALSE)</f>
        <v>How would you like to input your electricity data?</v>
      </c>
      <c r="C8" s="361"/>
      <c r="D8" s="362" t="s">
        <v>476</v>
      </c>
      <c r="F8" s="361" t="str">
        <f>VLOOKUP(H5,S24:T25,2, FALSE)</f>
        <v>How would you like to input your water data?</v>
      </c>
      <c r="G8" s="361"/>
      <c r="H8" s="362" t="s">
        <v>476</v>
      </c>
      <c r="I8" s="362"/>
      <c r="K8" s="191"/>
      <c r="Q8" t="s">
        <v>1</v>
      </c>
      <c r="R8" t="s">
        <v>471</v>
      </c>
      <c r="S8" t="str">
        <f>Q8&amp;R8</f>
        <v>ElectricityNo</v>
      </c>
      <c r="T8" t="s">
        <v>487</v>
      </c>
      <c r="U8" t="s">
        <v>473</v>
      </c>
      <c r="V8" t="s">
        <v>477</v>
      </c>
      <c r="W8" t="s">
        <v>477</v>
      </c>
      <c r="X8">
        <v>2</v>
      </c>
      <c r="Z8" t="s">
        <v>488</v>
      </c>
      <c r="AA8" t="s">
        <v>489</v>
      </c>
    </row>
    <row r="9" spans="1:33" ht="15.75" customHeight="1" x14ac:dyDescent="0.25">
      <c r="B9" s="361"/>
      <c r="C9" s="361"/>
      <c r="D9" s="362"/>
      <c r="F9" s="361"/>
      <c r="G9" s="361"/>
      <c r="H9" s="362"/>
      <c r="I9" s="362"/>
      <c r="K9" s="363" t="s">
        <v>490</v>
      </c>
      <c r="L9" s="363"/>
      <c r="M9" s="363"/>
      <c r="N9" s="363"/>
      <c r="R9">
        <f t="shared" ref="R9:R20" si="0">IF(B12 = 0,0,1)</f>
        <v>1</v>
      </c>
      <c r="S9">
        <f t="shared" ref="S9:T20" si="1">C12*$R9</f>
        <v>60000</v>
      </c>
      <c r="T9">
        <f t="shared" si="1"/>
        <v>140000</v>
      </c>
      <c r="V9" t="s">
        <v>478</v>
      </c>
      <c r="W9" t="s">
        <v>478</v>
      </c>
      <c r="X9">
        <v>3</v>
      </c>
      <c r="Z9" t="s">
        <v>491</v>
      </c>
      <c r="AA9" t="s">
        <v>492</v>
      </c>
    </row>
    <row r="10" spans="1:33" x14ac:dyDescent="0.25">
      <c r="K10" s="363"/>
      <c r="L10" s="363"/>
      <c r="M10" s="363"/>
      <c r="N10" s="363"/>
      <c r="R10">
        <f t="shared" si="0"/>
        <v>0</v>
      </c>
      <c r="S10">
        <f t="shared" si="1"/>
        <v>0</v>
      </c>
      <c r="T10">
        <f t="shared" si="1"/>
        <v>0</v>
      </c>
      <c r="W10" t="s">
        <v>471</v>
      </c>
      <c r="X10">
        <v>4</v>
      </c>
      <c r="Z10" t="s">
        <v>493</v>
      </c>
      <c r="AA10" t="s">
        <v>494</v>
      </c>
    </row>
    <row r="11" spans="1:33" ht="17.25" x14ac:dyDescent="0.3">
      <c r="B11" s="202"/>
      <c r="C11" s="208" t="s">
        <v>16</v>
      </c>
      <c r="D11" s="208" t="str">
        <f>"Usage " &amp; VLOOKUP((D3),AE6:AF7,2, FALSE)</f>
        <v>Usage kWh</v>
      </c>
      <c r="F11" s="202"/>
      <c r="G11" s="208"/>
      <c r="H11" s="208" t="s">
        <v>468</v>
      </c>
      <c r="I11" s="209" t="s">
        <v>6</v>
      </c>
      <c r="K11" s="210" t="s">
        <v>495</v>
      </c>
      <c r="L11" s="211">
        <f>L6/M6</f>
        <v>0.42857142857142855</v>
      </c>
      <c r="M11" s="212" t="str">
        <f>"/" &amp; VLOOKUP((D3),AE6:AF7,2, FALSE)</f>
        <v>/kWh</v>
      </c>
      <c r="N11" s="202"/>
      <c r="R11">
        <f t="shared" si="0"/>
        <v>0</v>
      </c>
      <c r="S11">
        <f t="shared" si="1"/>
        <v>0</v>
      </c>
      <c r="T11">
        <f t="shared" si="1"/>
        <v>0</v>
      </c>
      <c r="X11">
        <v>5</v>
      </c>
      <c r="AA11" t="s">
        <v>496</v>
      </c>
    </row>
    <row r="12" spans="1:33" ht="17.25" x14ac:dyDescent="0.3">
      <c r="B12" s="213" t="str">
        <f t="shared" ref="B12:B23" si="2">HLOOKUP(D$8,Y$6:AB$18,X7+1,FALSE)</f>
        <v>Annual amount</v>
      </c>
      <c r="C12" s="214">
        <v>60000</v>
      </c>
      <c r="D12" s="215">
        <v>140000</v>
      </c>
      <c r="F12" s="358" t="str">
        <f>HLOOKUP(H$8,Y$6:AB$18,X7+1,FALSE)</f>
        <v>Annual amount</v>
      </c>
      <c r="G12" s="358"/>
      <c r="H12" s="359">
        <v>400</v>
      </c>
      <c r="I12" s="359"/>
      <c r="K12" s="216" t="s">
        <v>497</v>
      </c>
      <c r="L12" s="217">
        <f>L6/M7</f>
        <v>150</v>
      </c>
      <c r="M12" s="212" t="s">
        <v>498</v>
      </c>
      <c r="N12" s="202"/>
      <c r="R12">
        <f t="shared" si="0"/>
        <v>0</v>
      </c>
      <c r="S12">
        <f t="shared" si="1"/>
        <v>0</v>
      </c>
      <c r="T12">
        <f t="shared" si="1"/>
        <v>0</v>
      </c>
      <c r="X12">
        <v>6</v>
      </c>
      <c r="AA12" t="s">
        <v>499</v>
      </c>
    </row>
    <row r="13" spans="1:33" ht="17.25" x14ac:dyDescent="0.3">
      <c r="B13" s="213">
        <f t="shared" si="2"/>
        <v>0</v>
      </c>
      <c r="C13" s="214"/>
      <c r="D13" s="215"/>
      <c r="F13" s="358">
        <f>HLOOKUP(H$8,Y$6:AB$18,X8+1,FALSE)</f>
        <v>0</v>
      </c>
      <c r="G13" s="358"/>
      <c r="H13" s="359"/>
      <c r="I13" s="359"/>
      <c r="K13" s="216" t="s">
        <v>33</v>
      </c>
      <c r="L13" s="218">
        <f>M6/M7</f>
        <v>350</v>
      </c>
      <c r="M13" s="212" t="str">
        <f>VLOOKUP((D3),AE6:AF7,2, FALSE)&amp;"/ML"</f>
        <v>kWh/ML</v>
      </c>
      <c r="N13" s="202"/>
      <c r="R13">
        <f t="shared" si="0"/>
        <v>0</v>
      </c>
      <c r="S13">
        <f t="shared" si="1"/>
        <v>0</v>
      </c>
      <c r="T13">
        <f t="shared" si="1"/>
        <v>0</v>
      </c>
      <c r="X13">
        <v>7</v>
      </c>
      <c r="AA13" t="s">
        <v>500</v>
      </c>
    </row>
    <row r="14" spans="1:33" x14ac:dyDescent="0.25">
      <c r="B14" s="213">
        <f t="shared" si="2"/>
        <v>0</v>
      </c>
      <c r="C14" s="214"/>
      <c r="D14" s="215"/>
      <c r="F14" s="358">
        <f t="shared" ref="F14:F23" si="3">HLOOKUP(H$8,Y$6:AB$18,X9+1,FALSE)</f>
        <v>0</v>
      </c>
      <c r="G14" s="358"/>
      <c r="H14" s="359"/>
      <c r="I14" s="359"/>
      <c r="R14">
        <f t="shared" si="0"/>
        <v>0</v>
      </c>
      <c r="S14">
        <f t="shared" si="1"/>
        <v>0</v>
      </c>
      <c r="T14">
        <f t="shared" si="1"/>
        <v>0</v>
      </c>
      <c r="X14">
        <v>8</v>
      </c>
      <c r="AA14" t="s">
        <v>501</v>
      </c>
    </row>
    <row r="15" spans="1:33" x14ac:dyDescent="0.25">
      <c r="B15" s="213">
        <f t="shared" si="2"/>
        <v>0</v>
      </c>
      <c r="C15" s="214"/>
      <c r="D15" s="215"/>
      <c r="F15" s="358">
        <f t="shared" si="3"/>
        <v>0</v>
      </c>
      <c r="G15" s="358"/>
      <c r="H15" s="359"/>
      <c r="I15" s="359"/>
      <c r="R15">
        <f t="shared" si="0"/>
        <v>0</v>
      </c>
      <c r="S15">
        <f t="shared" si="1"/>
        <v>0</v>
      </c>
      <c r="T15">
        <f t="shared" si="1"/>
        <v>0</v>
      </c>
      <c r="X15">
        <v>9</v>
      </c>
      <c r="AA15" t="s">
        <v>502</v>
      </c>
    </row>
    <row r="16" spans="1:33" x14ac:dyDescent="0.25">
      <c r="B16" s="213">
        <f t="shared" si="2"/>
        <v>0</v>
      </c>
      <c r="C16" s="214"/>
      <c r="D16" s="215"/>
      <c r="F16" s="358">
        <f t="shared" si="3"/>
        <v>0</v>
      </c>
      <c r="G16" s="358"/>
      <c r="H16" s="359"/>
      <c r="I16" s="359"/>
      <c r="R16">
        <f t="shared" si="0"/>
        <v>0</v>
      </c>
      <c r="S16">
        <f t="shared" si="1"/>
        <v>0</v>
      </c>
      <c r="T16">
        <f t="shared" si="1"/>
        <v>0</v>
      </c>
      <c r="X16">
        <v>10</v>
      </c>
      <c r="AA16" t="s">
        <v>503</v>
      </c>
    </row>
    <row r="17" spans="2:27" x14ac:dyDescent="0.25">
      <c r="B17" s="213">
        <f t="shared" si="2"/>
        <v>0</v>
      </c>
      <c r="C17" s="214"/>
      <c r="D17" s="215"/>
      <c r="F17" s="358">
        <f t="shared" si="3"/>
        <v>0</v>
      </c>
      <c r="G17" s="358"/>
      <c r="H17" s="359"/>
      <c r="I17" s="359"/>
      <c r="R17">
        <f t="shared" si="0"/>
        <v>0</v>
      </c>
      <c r="S17">
        <f t="shared" si="1"/>
        <v>0</v>
      </c>
      <c r="T17">
        <f t="shared" si="1"/>
        <v>0</v>
      </c>
      <c r="X17">
        <v>11</v>
      </c>
      <c r="AA17" t="s">
        <v>504</v>
      </c>
    </row>
    <row r="18" spans="2:27" ht="14.25" customHeight="1" x14ac:dyDescent="0.25">
      <c r="B18" s="213">
        <f t="shared" si="2"/>
        <v>0</v>
      </c>
      <c r="C18" s="214"/>
      <c r="D18" s="215"/>
      <c r="F18" s="358">
        <f t="shared" si="3"/>
        <v>0</v>
      </c>
      <c r="G18" s="358"/>
      <c r="H18" s="359"/>
      <c r="I18" s="359"/>
      <c r="R18">
        <f t="shared" si="0"/>
        <v>0</v>
      </c>
      <c r="S18">
        <f t="shared" si="1"/>
        <v>0</v>
      </c>
      <c r="T18">
        <f t="shared" si="1"/>
        <v>0</v>
      </c>
      <c r="X18">
        <v>12</v>
      </c>
      <c r="AA18" t="s">
        <v>505</v>
      </c>
    </row>
    <row r="19" spans="2:27" x14ac:dyDescent="0.25">
      <c r="B19" s="213">
        <f t="shared" si="2"/>
        <v>0</v>
      </c>
      <c r="C19" s="214"/>
      <c r="D19" s="215"/>
      <c r="F19" s="358">
        <f t="shared" si="3"/>
        <v>0</v>
      </c>
      <c r="G19" s="358"/>
      <c r="H19" s="359"/>
      <c r="I19" s="359"/>
      <c r="R19">
        <f t="shared" si="0"/>
        <v>0</v>
      </c>
      <c r="S19">
        <f t="shared" si="1"/>
        <v>0</v>
      </c>
      <c r="T19">
        <f t="shared" si="1"/>
        <v>0</v>
      </c>
    </row>
    <row r="20" spans="2:27" x14ac:dyDescent="0.25">
      <c r="B20" s="213">
        <f t="shared" si="2"/>
        <v>0</v>
      </c>
      <c r="C20" s="214"/>
      <c r="D20" s="215"/>
      <c r="F20" s="358">
        <f t="shared" si="3"/>
        <v>0</v>
      </c>
      <c r="G20" s="358"/>
      <c r="H20" s="359"/>
      <c r="I20" s="359"/>
      <c r="R20">
        <f t="shared" si="0"/>
        <v>0</v>
      </c>
      <c r="S20">
        <f t="shared" si="1"/>
        <v>0</v>
      </c>
      <c r="T20">
        <f t="shared" si="1"/>
        <v>0</v>
      </c>
    </row>
    <row r="21" spans="2:27" x14ac:dyDescent="0.25">
      <c r="B21" s="213">
        <f t="shared" si="2"/>
        <v>0</v>
      </c>
      <c r="C21" s="214"/>
      <c r="D21" s="215"/>
      <c r="F21" s="358">
        <f t="shared" si="3"/>
        <v>0</v>
      </c>
      <c r="G21" s="358"/>
      <c r="H21" s="359"/>
      <c r="I21" s="359"/>
    </row>
    <row r="22" spans="2:27" x14ac:dyDescent="0.25">
      <c r="B22" s="213">
        <f t="shared" si="2"/>
        <v>0</v>
      </c>
      <c r="C22" s="214"/>
      <c r="D22" s="215"/>
      <c r="F22" s="358">
        <f t="shared" si="3"/>
        <v>0</v>
      </c>
      <c r="G22" s="358"/>
      <c r="H22" s="359"/>
      <c r="I22" s="359"/>
    </row>
    <row r="23" spans="2:27" ht="15" customHeight="1" x14ac:dyDescent="0.25">
      <c r="B23" s="213">
        <f t="shared" si="2"/>
        <v>0</v>
      </c>
      <c r="C23" s="214"/>
      <c r="D23" s="215"/>
      <c r="F23" s="358">
        <f t="shared" si="3"/>
        <v>0</v>
      </c>
      <c r="G23" s="358"/>
      <c r="H23" s="359"/>
      <c r="I23" s="359"/>
      <c r="U23" t="str">
        <f>VLOOKUP(F8,T24:U25,2,FALSE)</f>
        <v>Input</v>
      </c>
    </row>
    <row r="24" spans="2:27" x14ac:dyDescent="0.25">
      <c r="S24" t="s">
        <v>466</v>
      </c>
      <c r="T24" t="s">
        <v>506</v>
      </c>
      <c r="U24" t="s">
        <v>0</v>
      </c>
    </row>
    <row r="25" spans="2:27" x14ac:dyDescent="0.25">
      <c r="S25" t="s">
        <v>471</v>
      </c>
      <c r="T25" t="s">
        <v>507</v>
      </c>
      <c r="U25" t="s">
        <v>473</v>
      </c>
    </row>
    <row r="26" spans="2:27" x14ac:dyDescent="0.25">
      <c r="R26">
        <f>IF(F12 = 0,0,1)</f>
        <v>1</v>
      </c>
      <c r="S26" t="e">
        <f>#REF!*$R26</f>
        <v>#REF!</v>
      </c>
      <c r="T26">
        <f t="shared" ref="T26:T37" si="4">H12*$R26</f>
        <v>400</v>
      </c>
    </row>
    <row r="27" spans="2:27" x14ac:dyDescent="0.25">
      <c r="R27">
        <f>IF(F13 = 0,0,1)</f>
        <v>0</v>
      </c>
      <c r="S27" t="e">
        <f>#REF!*$R27</f>
        <v>#REF!</v>
      </c>
      <c r="T27">
        <f t="shared" si="4"/>
        <v>0</v>
      </c>
    </row>
    <row r="28" spans="2:27" x14ac:dyDescent="0.25">
      <c r="R28">
        <f t="shared" ref="R28:R37" si="5">IF(G14 = 0,0,1)</f>
        <v>0</v>
      </c>
      <c r="S28" t="e">
        <f>#REF!*$R28</f>
        <v>#REF!</v>
      </c>
      <c r="T28">
        <f t="shared" si="4"/>
        <v>0</v>
      </c>
    </row>
    <row r="29" spans="2:27" x14ac:dyDescent="0.25">
      <c r="R29">
        <f t="shared" si="5"/>
        <v>0</v>
      </c>
      <c r="S29" t="e">
        <f>#REF!*$R29</f>
        <v>#REF!</v>
      </c>
      <c r="T29">
        <f t="shared" si="4"/>
        <v>0</v>
      </c>
    </row>
    <row r="30" spans="2:27" x14ac:dyDescent="0.25">
      <c r="R30">
        <f t="shared" si="5"/>
        <v>0</v>
      </c>
      <c r="S30" t="e">
        <f>#REF!*$R30</f>
        <v>#REF!</v>
      </c>
      <c r="T30">
        <f t="shared" si="4"/>
        <v>0</v>
      </c>
    </row>
    <row r="31" spans="2:27" x14ac:dyDescent="0.25">
      <c r="R31">
        <f t="shared" si="5"/>
        <v>0</v>
      </c>
      <c r="S31" t="e">
        <f>#REF!*$R31</f>
        <v>#REF!</v>
      </c>
      <c r="T31">
        <f t="shared" si="4"/>
        <v>0</v>
      </c>
    </row>
    <row r="32" spans="2:27" x14ac:dyDescent="0.25">
      <c r="R32">
        <f t="shared" si="5"/>
        <v>0</v>
      </c>
      <c r="S32" t="e">
        <f>#REF!*$R32</f>
        <v>#REF!</v>
      </c>
      <c r="T32">
        <f t="shared" si="4"/>
        <v>0</v>
      </c>
    </row>
    <row r="33" spans="18:20" x14ac:dyDescent="0.25">
      <c r="R33">
        <f t="shared" si="5"/>
        <v>0</v>
      </c>
      <c r="S33" t="e">
        <f>#REF!*$R33</f>
        <v>#REF!</v>
      </c>
      <c r="T33">
        <f t="shared" si="4"/>
        <v>0</v>
      </c>
    </row>
    <row r="34" spans="18:20" x14ac:dyDescent="0.25">
      <c r="R34">
        <f t="shared" si="5"/>
        <v>0</v>
      </c>
      <c r="S34" t="e">
        <f>#REF!*$R34</f>
        <v>#REF!</v>
      </c>
      <c r="T34">
        <f t="shared" si="4"/>
        <v>0</v>
      </c>
    </row>
    <row r="35" spans="18:20" x14ac:dyDescent="0.25">
      <c r="R35">
        <f t="shared" si="5"/>
        <v>0</v>
      </c>
      <c r="S35" t="e">
        <f>#REF!*$R35</f>
        <v>#REF!</v>
      </c>
      <c r="T35">
        <f t="shared" si="4"/>
        <v>0</v>
      </c>
    </row>
    <row r="36" spans="18:20" x14ac:dyDescent="0.25">
      <c r="R36">
        <f t="shared" si="5"/>
        <v>0</v>
      </c>
      <c r="S36" t="e">
        <f>#REF!*$R36</f>
        <v>#REF!</v>
      </c>
      <c r="T36">
        <f t="shared" si="4"/>
        <v>0</v>
      </c>
    </row>
    <row r="37" spans="18:20" x14ac:dyDescent="0.25">
      <c r="R37">
        <f t="shared" si="5"/>
        <v>0</v>
      </c>
      <c r="S37" t="e">
        <f>#REF!*$R37</f>
        <v>#REF!</v>
      </c>
      <c r="T37">
        <f t="shared" si="4"/>
        <v>0</v>
      </c>
    </row>
  </sheetData>
  <sheetProtection algorithmName="SHA-512" hashValue="1PduC3E15rq+SQhjJ2H2zQkNMjYg7XJha/yRghhC/CTwS0EA4o4kR+fK24VgkpNx3XOs43cW8yxrjt+GaUTQ8Q==" saltValue="VyTt7h3cC+FOAP60TAQr0w==" spinCount="100000" sheet="1" selectLockedCells="1"/>
  <mergeCells count="37">
    <mergeCell ref="B3:C3"/>
    <mergeCell ref="F3:I3"/>
    <mergeCell ref="K3:N3"/>
    <mergeCell ref="B5:C6"/>
    <mergeCell ref="D5:D6"/>
    <mergeCell ref="F5:G6"/>
    <mergeCell ref="H5:I6"/>
    <mergeCell ref="X5:AA5"/>
    <mergeCell ref="B8:C9"/>
    <mergeCell ref="D8:D9"/>
    <mergeCell ref="F8:G9"/>
    <mergeCell ref="H8:I9"/>
    <mergeCell ref="K9:N10"/>
    <mergeCell ref="F12:G12"/>
    <mergeCell ref="H12:I12"/>
    <mergeCell ref="F13:G13"/>
    <mergeCell ref="H13:I13"/>
    <mergeCell ref="F14:G14"/>
    <mergeCell ref="H14:I14"/>
    <mergeCell ref="F15:G15"/>
    <mergeCell ref="H15:I15"/>
    <mergeCell ref="F16:G16"/>
    <mergeCell ref="H16:I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s>
  <conditionalFormatting sqref="B12:B23 F12:F23">
    <cfRule type="containsText" dxfId="111" priority="3" operator="containsText" text="0">
      <formula>NOT(ISERROR(SEARCH("0",B12)))</formula>
    </cfRule>
  </conditionalFormatting>
  <conditionalFormatting sqref="C12:D23">
    <cfRule type="expression" dxfId="110" priority="2">
      <formula>$B12=0</formula>
    </cfRule>
  </conditionalFormatting>
  <conditionalFormatting sqref="H12:H23">
    <cfRule type="expression" dxfId="109" priority="4">
      <formula>$F12=0</formula>
    </cfRule>
  </conditionalFormatting>
  <conditionalFormatting sqref="F13:F23">
    <cfRule type="containsText" dxfId="108" priority="1" operator="containsText" text="0">
      <formula>NOT(ISERROR(SEARCH("0",F13)))</formula>
    </cfRule>
  </conditionalFormatting>
  <dataValidations count="5">
    <dataValidation type="list" allowBlank="1" showInputMessage="1" showErrorMessage="1" sqref="H5 D5:D6" xr:uid="{CD6A3EAF-F5D0-45E4-B6AB-7C2E0FB7F7AB}">
      <formula1>$R$7:$R$8</formula1>
    </dataValidation>
    <dataValidation type="list" allowBlank="1" showInputMessage="1" showErrorMessage="1" sqref="D8:D9" xr:uid="{D634493F-E8E0-4FFF-8ADC-A7E2DA4060EA}">
      <formula1>INDIRECT($U$2)</formula1>
    </dataValidation>
    <dataValidation type="list" allowBlank="1" showInputMessage="1" showErrorMessage="1" sqref="D3" xr:uid="{8460FC27-9363-4D64-B10E-F4766E85F6F2}">
      <formula1>$AE$6:$AE$7</formula1>
    </dataValidation>
    <dataValidation type="list" allowBlank="1" showInputMessage="1" showErrorMessage="1" sqref="I11" xr:uid="{4B2AB394-BA24-4E0F-A656-C960EF110B26}">
      <formula1>$AD$6:$AD$7</formula1>
    </dataValidation>
    <dataValidation type="list" allowBlank="1" showInputMessage="1" showErrorMessage="1" sqref="H8:I9" xr:uid="{E3F3E1C7-0DA2-453C-BE04-BF1040B93DFD}">
      <formula1>INDIRECT($U$23)</formula1>
    </dataValidation>
  </dataValidations>
  <pageMargins left="0.7" right="0.7" top="0.75" bottom="0.75" header="0.3" footer="0.3"/>
  <pageSetup paperSize="9" orientation="portrait" horizontalDpi="90" verticalDpi="90" r:id="rId1"/>
  <headerFooter>
    <oddHeader>&amp;C&amp;"Calibri"&amp;12&amp;K000000UNOFFICIAL&amp;1#</oddHeader>
    <oddFooter>&amp;C&amp;1#&amp;"Calibri"&amp;12&amp;K000000UNOFFICIAL</oddFooter>
  </headerFooter>
  <drawing r:id="rId2"/>
  <legacyDrawing r:id="rId3"/>
  <tableParts count="2">
    <tablePart r:id="rId4"/>
    <tablePart r:id="rId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1648-ECEB-4F82-A535-EDF501161F3C}">
  <sheetPr>
    <tabColor rgb="FF92D050"/>
  </sheetPr>
  <dimension ref="A1:BX118"/>
  <sheetViews>
    <sheetView showGridLines="0" zoomScale="85" zoomScaleNormal="85" workbookViewId="0">
      <selection activeCell="D16" sqref="D16"/>
    </sheetView>
  </sheetViews>
  <sheetFormatPr defaultRowHeight="15" x14ac:dyDescent="0.25"/>
  <cols>
    <col min="1" max="1" width="0.7109375" style="35" customWidth="1"/>
    <col min="2" max="2" width="11.42578125" style="35" customWidth="1"/>
    <col min="3" max="3" width="8.85546875" style="35" customWidth="1"/>
    <col min="4" max="4" width="12" style="36" customWidth="1"/>
    <col min="5" max="5" width="12.85546875" style="35" customWidth="1"/>
    <col min="6" max="6" width="1.42578125" style="1" customWidth="1"/>
    <col min="7" max="7" width="8.7109375" style="1" customWidth="1"/>
    <col min="8" max="8" width="9" style="1" customWidth="1"/>
    <col min="9" max="9" width="12.42578125" style="35" customWidth="1"/>
    <col min="10" max="10" width="7" style="35" customWidth="1"/>
    <col min="11" max="11" width="2.140625" style="35" customWidth="1"/>
    <col min="12" max="12" width="9.7109375" style="35" customWidth="1"/>
    <col min="13" max="13" width="10.42578125" style="35" customWidth="1"/>
    <col min="14" max="14" width="12.140625" style="35" customWidth="1"/>
    <col min="15" max="15" width="2.140625" style="37" customWidth="1"/>
    <col min="16" max="16" width="11.140625" style="37" customWidth="1"/>
    <col min="17" max="17" width="11.7109375" style="37" customWidth="1"/>
    <col min="18" max="18" width="5.42578125" style="37" customWidth="1"/>
    <col min="19" max="19" width="14" style="37" customWidth="1"/>
    <col min="20" max="20" width="6" style="37" customWidth="1"/>
    <col min="21" max="21" width="2.140625" style="37" customWidth="1"/>
    <col min="22" max="22" width="15.7109375" style="37" customWidth="1"/>
    <col min="23" max="23" width="14.7109375" style="37" customWidth="1"/>
    <col min="24" max="24" width="6.42578125" style="37" customWidth="1"/>
    <col min="25" max="25" width="2.28515625" style="37" customWidth="1"/>
    <col min="26" max="26" width="119.28515625" style="37" customWidth="1"/>
    <col min="27" max="27" width="6.7109375" style="37" customWidth="1"/>
    <col min="28" max="28" width="8.5703125" style="37" customWidth="1"/>
    <col min="29" max="29" width="8" style="37" customWidth="1"/>
    <col min="30" max="30" width="10.7109375" style="37" customWidth="1"/>
    <col min="31" max="31" width="5.7109375" style="37" customWidth="1"/>
    <col min="32" max="32" width="8.42578125" style="37" customWidth="1"/>
    <col min="33" max="33" width="6.85546875" style="37" customWidth="1"/>
    <col min="34" max="34" width="9.28515625" style="37" customWidth="1"/>
    <col min="35" max="35" width="11.7109375" style="37" bestFit="1" customWidth="1"/>
    <col min="36" max="38" width="11.42578125" style="37" customWidth="1"/>
    <col min="39" max="39" width="27.7109375" style="35" bestFit="1" customWidth="1"/>
    <col min="40" max="40" width="17.85546875" style="35" bestFit="1" customWidth="1"/>
    <col min="41" max="41" width="4.85546875" style="35" bestFit="1" customWidth="1"/>
    <col min="42" max="42" width="12" style="35" customWidth="1"/>
    <col min="43" max="43" width="18.28515625" style="35" bestFit="1" customWidth="1"/>
    <col min="44" max="44" width="9.42578125" style="35" bestFit="1" customWidth="1"/>
    <col min="45" max="45" width="6.5703125" style="35" bestFit="1" customWidth="1"/>
    <col min="46" max="46" width="13.5703125" style="35" customWidth="1"/>
    <col min="47" max="47" width="15.28515625" style="35" customWidth="1"/>
    <col min="48" max="48" width="41" style="35" bestFit="1" customWidth="1"/>
    <col min="49" max="49" width="29.140625" style="35" customWidth="1"/>
    <col min="50" max="50" width="31" style="35" customWidth="1"/>
    <col min="51" max="51" width="22.7109375" style="35" customWidth="1"/>
    <col min="52" max="52" width="14.28515625" style="35" customWidth="1"/>
    <col min="53" max="53" width="20.28515625" style="35" bestFit="1" customWidth="1"/>
    <col min="54" max="54" width="18.28515625" style="35" bestFit="1" customWidth="1"/>
    <col min="55" max="55" width="16.85546875" style="35" customWidth="1"/>
    <col min="56" max="56" width="32.42578125" style="35" bestFit="1" customWidth="1"/>
    <col min="57" max="57" width="13.140625" style="35" bestFit="1" customWidth="1"/>
    <col min="58" max="58" width="20.28515625" style="35" bestFit="1" customWidth="1"/>
    <col min="59" max="59" width="17" style="35" customWidth="1"/>
    <col min="60" max="60" width="13.42578125" style="35" bestFit="1" customWidth="1"/>
    <col min="61" max="61" width="20.28515625" style="35" bestFit="1" customWidth="1"/>
    <col min="62" max="62" width="13.140625" customWidth="1"/>
    <col min="63" max="63" width="10.7109375" style="35" customWidth="1"/>
    <col min="64" max="64" width="20.140625" style="35" hidden="1" customWidth="1"/>
    <col min="65" max="65" width="9.140625" style="35" hidden="1" customWidth="1"/>
    <col min="66" max="66" width="22.140625" style="35" bestFit="1" customWidth="1"/>
    <col min="67" max="67" width="9.140625" style="35"/>
    <col min="68" max="68" width="21.140625" style="35" customWidth="1"/>
    <col min="69" max="69" width="22.140625" style="35" bestFit="1" customWidth="1"/>
    <col min="70" max="70" width="20.42578125" style="35" bestFit="1" customWidth="1"/>
    <col min="71" max="71" width="9.140625" style="35" customWidth="1"/>
    <col min="72" max="16384" width="9.140625" style="35"/>
  </cols>
  <sheetData>
    <row r="1" spans="1:62" ht="3.75" customHeight="1" x14ac:dyDescent="0.25">
      <c r="BJ1" s="341"/>
    </row>
    <row r="2" spans="1:62" ht="15" customHeight="1" x14ac:dyDescent="0.25">
      <c r="B2" s="372" t="s">
        <v>454</v>
      </c>
      <c r="C2" s="373"/>
      <c r="D2" s="366" t="s">
        <v>455</v>
      </c>
      <c r="E2" s="366"/>
      <c r="F2" s="366"/>
      <c r="G2" s="366"/>
      <c r="H2" s="366"/>
      <c r="I2" s="366"/>
      <c r="J2" s="366"/>
      <c r="K2" s="366"/>
      <c r="L2" s="366"/>
      <c r="M2" s="366"/>
      <c r="N2" s="366"/>
      <c r="O2" s="366"/>
      <c r="P2" s="366"/>
      <c r="Q2" s="366"/>
      <c r="R2" s="366"/>
      <c r="S2" s="366"/>
      <c r="T2" s="366"/>
      <c r="U2" s="366"/>
      <c r="V2" s="366"/>
      <c r="W2" s="366"/>
      <c r="X2" s="367"/>
      <c r="BJ2" s="345"/>
    </row>
    <row r="3" spans="1:62" ht="3.75" customHeight="1" x14ac:dyDescent="0.25">
      <c r="B3" s="246"/>
      <c r="C3" s="247"/>
      <c r="D3" s="368"/>
      <c r="E3" s="368"/>
      <c r="F3" s="368"/>
      <c r="G3" s="368"/>
      <c r="H3" s="368"/>
      <c r="I3" s="368"/>
      <c r="J3" s="368"/>
      <c r="K3" s="368"/>
      <c r="L3" s="368"/>
      <c r="M3" s="368"/>
      <c r="N3" s="368"/>
      <c r="O3" s="368"/>
      <c r="P3" s="368"/>
      <c r="Q3" s="368"/>
      <c r="R3" s="368"/>
      <c r="S3" s="368"/>
      <c r="T3" s="368"/>
      <c r="U3" s="368"/>
      <c r="V3" s="368"/>
      <c r="W3" s="368"/>
      <c r="X3" s="369"/>
      <c r="BJ3" s="345"/>
    </row>
    <row r="4" spans="1:62" ht="15" customHeight="1" x14ac:dyDescent="0.25">
      <c r="B4" s="374" t="s">
        <v>456</v>
      </c>
      <c r="C4" s="375"/>
      <c r="D4" s="370"/>
      <c r="E4" s="370"/>
      <c r="F4" s="370"/>
      <c r="G4" s="370"/>
      <c r="H4" s="370"/>
      <c r="I4" s="370"/>
      <c r="J4" s="370"/>
      <c r="K4" s="370"/>
      <c r="L4" s="370"/>
      <c r="M4" s="370"/>
      <c r="N4" s="370"/>
      <c r="O4" s="370"/>
      <c r="P4" s="370"/>
      <c r="Q4" s="370"/>
      <c r="R4" s="370"/>
      <c r="S4" s="370"/>
      <c r="T4" s="370"/>
      <c r="U4" s="370"/>
      <c r="V4" s="370"/>
      <c r="W4" s="370"/>
      <c r="X4" s="371"/>
      <c r="BC4" s="35" t="s">
        <v>550</v>
      </c>
      <c r="BJ4" s="342" t="s">
        <v>562</v>
      </c>
    </row>
    <row r="5" spans="1:62" ht="3.75" customHeight="1" x14ac:dyDescent="0.25">
      <c r="AQ5" s="38"/>
      <c r="BB5" s="38"/>
      <c r="BJ5" s="345"/>
    </row>
    <row r="6" spans="1:62" s="41" customFormat="1" ht="14.25" customHeight="1" x14ac:dyDescent="0.25">
      <c r="A6" s="39"/>
      <c r="B6" s="130" t="s">
        <v>52</v>
      </c>
      <c r="C6" s="135"/>
      <c r="D6" s="90"/>
      <c r="E6" s="91"/>
      <c r="F6" s="1"/>
      <c r="G6" s="1"/>
      <c r="H6" s="1"/>
      <c r="M6" s="1"/>
      <c r="N6" s="1"/>
      <c r="P6" s="42" t="s">
        <v>50</v>
      </c>
      <c r="Q6" s="43"/>
      <c r="S6" s="42" t="s">
        <v>51</v>
      </c>
      <c r="T6" s="43"/>
      <c r="U6" s="1"/>
      <c r="Z6" s="40"/>
      <c r="AA6" s="40"/>
      <c r="AB6" s="40"/>
      <c r="AG6" s="40"/>
      <c r="AH6" s="40"/>
      <c r="AI6" s="40"/>
      <c r="AJ6" s="40"/>
      <c r="AK6" s="40"/>
      <c r="AL6" s="40"/>
      <c r="AM6" s="96" t="s">
        <v>345</v>
      </c>
      <c r="AN6" s="97" t="s">
        <v>85</v>
      </c>
      <c r="AO6" s="97" t="s">
        <v>21</v>
      </c>
      <c r="AP6" s="98" t="s">
        <v>346</v>
      </c>
      <c r="AQ6" s="331"/>
      <c r="AR6" s="332" t="s">
        <v>10</v>
      </c>
      <c r="AS6" s="333" t="s">
        <v>36</v>
      </c>
      <c r="AT6" s="333" t="s">
        <v>347</v>
      </c>
      <c r="AU6" s="333" t="s">
        <v>348</v>
      </c>
      <c r="AV6" s="333" t="s">
        <v>349</v>
      </c>
      <c r="AW6" s="333" t="s">
        <v>548</v>
      </c>
      <c r="AX6" s="333" t="s">
        <v>368</v>
      </c>
      <c r="AY6" s="333" t="s">
        <v>350</v>
      </c>
      <c r="AZ6" s="333" t="s">
        <v>351</v>
      </c>
      <c r="BA6" s="333" t="s">
        <v>352</v>
      </c>
      <c r="BB6" s="334" t="s">
        <v>419</v>
      </c>
      <c r="BC6" s="333" t="s">
        <v>549</v>
      </c>
      <c r="BD6" s="333" t="s">
        <v>369</v>
      </c>
      <c r="BE6" s="333" t="s">
        <v>449</v>
      </c>
      <c r="BF6" s="333" t="s">
        <v>351</v>
      </c>
      <c r="BG6" s="333" t="s">
        <v>353</v>
      </c>
      <c r="BH6" s="333" t="s">
        <v>350</v>
      </c>
      <c r="BI6" s="346" t="s">
        <v>352</v>
      </c>
      <c r="BJ6" s="343" t="s">
        <v>351</v>
      </c>
    </row>
    <row r="7" spans="1:62" ht="14.25" customHeight="1" x14ac:dyDescent="0.25">
      <c r="A7" s="2"/>
      <c r="B7" s="132" t="s">
        <v>25</v>
      </c>
      <c r="C7" s="136"/>
      <c r="D7" s="89" t="s">
        <v>1</v>
      </c>
      <c r="E7" s="178"/>
      <c r="M7" s="1"/>
      <c r="N7" s="1"/>
      <c r="P7" s="167">
        <v>10</v>
      </c>
      <c r="Q7" s="44" t="s">
        <v>12</v>
      </c>
      <c r="S7" s="167">
        <v>15</v>
      </c>
      <c r="T7" s="44" t="s">
        <v>12</v>
      </c>
      <c r="U7" s="1"/>
      <c r="Z7" s="40"/>
      <c r="AA7" s="40"/>
      <c r="AB7" s="40"/>
      <c r="AC7" s="40"/>
      <c r="AD7" s="40"/>
      <c r="AE7" s="40"/>
      <c r="AM7" s="38" t="s">
        <v>46</v>
      </c>
      <c r="AN7" s="2">
        <f>H24</f>
        <v>1</v>
      </c>
      <c r="AO7" s="2" t="str">
        <f>I24</f>
        <v>m</v>
      </c>
      <c r="AP7" s="2">
        <f t="shared" ref="AP7:AP14" si="0">VLOOKUP(AO7,AZ$27:BA$30,2,FALSE)*AN7</f>
        <v>1</v>
      </c>
      <c r="AQ7" s="300" t="s">
        <v>354</v>
      </c>
      <c r="AR7" s="306">
        <f>AP12+AP7+AP10</f>
        <v>3</v>
      </c>
      <c r="AS7" s="303">
        <f>AR7/AR$15</f>
        <v>0.10444414950847421</v>
      </c>
      <c r="AT7" s="301"/>
      <c r="AU7" s="302">
        <f>AS7*($AW$23-SUM($AU$12:$AU$14))</f>
        <v>2.6706618146637351</v>
      </c>
      <c r="AV7" s="303">
        <f>AU7/AW$34</f>
        <v>6.7836522055159984E-2</v>
      </c>
      <c r="AW7" s="304">
        <f t="shared" ref="AW7:AW14" si="1">AV7*AW$34</f>
        <v>2.6706618146637351</v>
      </c>
      <c r="AX7" s="305">
        <f t="shared" ref="AX7:AX14" si="2">AW7*(AW$25/AW$28)*24</f>
        <v>3371.6126709085675</v>
      </c>
      <c r="AY7" s="306">
        <f t="shared" ref="AY7:AY14" si="3">AV7*AW$26</f>
        <v>2.1365294517309881</v>
      </c>
      <c r="AZ7" s="307">
        <f t="shared" ref="AZ7:AZ14" si="4">AY7*AW$25</f>
        <v>842.90316772714164</v>
      </c>
      <c r="BA7" s="302">
        <f t="shared" ref="BA7:BA14" si="5">AV7*AW$30</f>
        <v>0.2975306686477997</v>
      </c>
      <c r="BB7" s="348">
        <f>AR7</f>
        <v>3</v>
      </c>
      <c r="BC7" s="327">
        <f>IFERROR((BB7/AR7)*AW7,0)</f>
        <v>2.6706618146637351</v>
      </c>
      <c r="BD7" s="309">
        <f>MIN(BC7,AW7)</f>
        <v>2.6706618146637351</v>
      </c>
      <c r="BE7" s="310">
        <f t="shared" ref="BE7:BE14" si="6">BD7/AW$15</f>
        <v>6.9832022456485621E-2</v>
      </c>
      <c r="BF7" s="311">
        <f t="shared" ref="BF7:BF14" si="7">BD7/(AW$28/24)*D$13*AW$25</f>
        <v>842.90316772714164</v>
      </c>
      <c r="BG7" s="312">
        <f>ROUND(IF(AZ7-BF7&gt;0,AZ7-BF7,0),3)</f>
        <v>0</v>
      </c>
      <c r="BH7" s="313">
        <f t="shared" ref="BH7:BH14" si="8">BF7/AW$25</f>
        <v>2.1365294517309881</v>
      </c>
      <c r="BI7" s="314">
        <f t="shared" ref="BI7:BI14" si="9">(BD7/($AW$28/24))/$BB$15</f>
        <v>0.35061071793334569</v>
      </c>
      <c r="BJ7" s="344">
        <f>((AR7-BB7)*BA$15)*D$13*AW$25</f>
        <v>0</v>
      </c>
    </row>
    <row r="8" spans="1:62" ht="14.25" customHeight="1" x14ac:dyDescent="0.25">
      <c r="A8" s="2"/>
      <c r="B8" s="131" t="s">
        <v>382</v>
      </c>
      <c r="C8" s="137"/>
      <c r="D8" s="47">
        <v>3065.7</v>
      </c>
      <c r="E8" s="92" t="str">
        <f>VLOOKUP(D7,AZ32:BC33,3,FALSE)</f>
        <v>kWh</v>
      </c>
      <c r="H8" s="356"/>
      <c r="R8" s="40"/>
      <c r="U8" s="40"/>
      <c r="V8" s="45"/>
      <c r="W8" s="45"/>
      <c r="X8" s="45"/>
      <c r="Y8" s="40"/>
      <c r="Z8" s="40"/>
      <c r="AA8" s="40"/>
      <c r="AB8" s="40"/>
      <c r="AC8" s="40"/>
      <c r="AD8" s="40"/>
      <c r="AE8" s="40"/>
      <c r="AI8" s="46"/>
      <c r="AJ8" s="46"/>
      <c r="AK8" s="46"/>
      <c r="AL8" s="46"/>
      <c r="AM8" s="38" t="s">
        <v>66</v>
      </c>
      <c r="AN8" s="2">
        <f>G28</f>
        <v>1</v>
      </c>
      <c r="AO8" s="2" t="str">
        <f>H28</f>
        <v>m</v>
      </c>
      <c r="AP8" s="2">
        <f t="shared" si="0"/>
        <v>1</v>
      </c>
      <c r="AQ8" s="184" t="s">
        <v>29</v>
      </c>
      <c r="AR8" s="261">
        <f>AP8</f>
        <v>1</v>
      </c>
      <c r="AS8" s="99">
        <f>AR8/AR$15</f>
        <v>3.4814716502824736E-2</v>
      </c>
      <c r="AT8" s="262"/>
      <c r="AU8" s="263">
        <f>AS8*($AW$23-SUM($AU$12:$AU$14))</f>
        <v>0.89022060488791177</v>
      </c>
      <c r="AV8" s="99">
        <f t="shared" ref="AV8:AV14" si="10">AU8/AW$34</f>
        <v>2.2612174018386662E-2</v>
      </c>
      <c r="AW8" s="264">
        <f t="shared" si="1"/>
        <v>0.89022060488791177</v>
      </c>
      <c r="AX8" s="100">
        <f t="shared" si="2"/>
        <v>1123.8708903028557</v>
      </c>
      <c r="AY8" s="261">
        <f t="shared" si="3"/>
        <v>0.71217648391032939</v>
      </c>
      <c r="AZ8" s="101">
        <f t="shared" si="4"/>
        <v>280.96772257571394</v>
      </c>
      <c r="BA8" s="263">
        <f t="shared" si="5"/>
        <v>9.9176889549266567E-2</v>
      </c>
      <c r="BB8" s="349">
        <f>AW29</f>
        <v>1</v>
      </c>
      <c r="BC8" s="102">
        <f>(BB8/AR8)*AW8</f>
        <v>0.89022060488791177</v>
      </c>
      <c r="BD8" s="102">
        <f t="shared" ref="BD8:BD17" si="11">MIN(BC8,AW8)</f>
        <v>0.89022060488791177</v>
      </c>
      <c r="BE8" s="185">
        <f t="shared" si="6"/>
        <v>2.3277340818828544E-2</v>
      </c>
      <c r="BF8" s="265">
        <f t="shared" si="7"/>
        <v>280.96772257571394</v>
      </c>
      <c r="BG8" s="266">
        <f>ROUND(IF(AZ8-BF8&gt;0,AZ8-BF8,0),3)</f>
        <v>0</v>
      </c>
      <c r="BH8" s="267">
        <f t="shared" si="8"/>
        <v>0.71217648391032951</v>
      </c>
      <c r="BI8" s="315">
        <f t="shared" si="9"/>
        <v>0.11687023931111523</v>
      </c>
      <c r="BJ8" s="344">
        <f t="shared" ref="BJ8:BJ10" si="12">((AR8-BB8)*BA$15)*D$13*AW$25</f>
        <v>0</v>
      </c>
    </row>
    <row r="9" spans="1:62" ht="14.25" customHeight="1" x14ac:dyDescent="0.25">
      <c r="A9" s="2"/>
      <c r="B9" s="131" t="s">
        <v>383</v>
      </c>
      <c r="C9" s="137"/>
      <c r="D9" s="47">
        <v>3086.5</v>
      </c>
      <c r="E9" s="92" t="str">
        <f>VLOOKUP(D7,AZ32:BC33,3,FALSE)</f>
        <v>kWh</v>
      </c>
      <c r="L9" s="1"/>
      <c r="R9" s="40"/>
      <c r="S9" s="40"/>
      <c r="T9" s="40"/>
      <c r="U9" s="40"/>
      <c r="V9" s="45"/>
      <c r="W9" s="45"/>
      <c r="X9" s="45"/>
      <c r="Y9" s="40"/>
      <c r="Z9" s="40"/>
      <c r="AA9" s="40"/>
      <c r="AB9" s="40"/>
      <c r="AC9" s="40"/>
      <c r="AM9" s="38" t="s">
        <v>48</v>
      </c>
      <c r="AN9" s="2">
        <f>L20</f>
        <v>38</v>
      </c>
      <c r="AO9" s="2" t="str">
        <f>M20</f>
        <v>PSI</v>
      </c>
      <c r="AP9" s="2">
        <f t="shared" si="0"/>
        <v>26.723485366277899</v>
      </c>
      <c r="AQ9" s="328" t="s">
        <v>355</v>
      </c>
      <c r="AR9" s="268">
        <f>AP9-AP11-AP10</f>
        <v>5.1259969192164014</v>
      </c>
      <c r="AS9" s="99">
        <f>AR9/AR$15</f>
        <v>0.17846012953687201</v>
      </c>
      <c r="AT9" s="261">
        <f>AR9/(D25+AS24)*100</f>
        <v>1.2688111186179212</v>
      </c>
      <c r="AU9" s="263">
        <f>AS9*($AW$23-SUM($AU$12:$AU$14))</f>
        <v>4.563268078078397</v>
      </c>
      <c r="AV9" s="99">
        <f t="shared" si="10"/>
        <v>0.11590993435503519</v>
      </c>
      <c r="AW9" s="264">
        <f t="shared" si="1"/>
        <v>4.563268078078397</v>
      </c>
      <c r="AX9" s="100">
        <f t="shared" si="2"/>
        <v>5760.958721289433</v>
      </c>
      <c r="AY9" s="261">
        <f t="shared" si="3"/>
        <v>3.6506144624627175</v>
      </c>
      <c r="AZ9" s="101">
        <f t="shared" si="4"/>
        <v>1440.239680322358</v>
      </c>
      <c r="BA9" s="263">
        <f t="shared" si="5"/>
        <v>0.50838043028700575</v>
      </c>
      <c r="BB9" s="349">
        <f>AW31</f>
        <v>3.97092</v>
      </c>
      <c r="BC9" s="102">
        <f>(BB9/AR9)*AW9</f>
        <v>3.5349948043615065</v>
      </c>
      <c r="BD9" s="102">
        <f t="shared" si="11"/>
        <v>3.5349948043615065</v>
      </c>
      <c r="BE9" s="185">
        <f t="shared" si="6"/>
        <v>9.2432458204302639E-2</v>
      </c>
      <c r="BF9" s="265">
        <f t="shared" si="7"/>
        <v>1115.7003489303538</v>
      </c>
      <c r="BG9" s="266">
        <f>ROUND(IF(AZ9-BF9&gt;0,AZ9-BF9,0),3)</f>
        <v>324.53899999999999</v>
      </c>
      <c r="BH9" s="267">
        <f t="shared" si="8"/>
        <v>2.8279958434892052</v>
      </c>
      <c r="BI9" s="315">
        <f t="shared" si="9"/>
        <v>0.46408237068529368</v>
      </c>
      <c r="BJ9" s="344">
        <f>((AR9-BB9)*BA$15)*D$13*AW$25</f>
        <v>485.39671710651771</v>
      </c>
    </row>
    <row r="10" spans="1:62" ht="14.25" customHeight="1" x14ac:dyDescent="0.25">
      <c r="A10" s="2"/>
      <c r="B10" s="131" t="s">
        <v>384</v>
      </c>
      <c r="C10" s="137"/>
      <c r="D10" s="47">
        <v>1268</v>
      </c>
      <c r="E10" s="92" t="s">
        <v>385</v>
      </c>
      <c r="L10" s="1"/>
      <c r="M10" s="42" t="s">
        <v>39</v>
      </c>
      <c r="N10" s="43"/>
      <c r="Q10" s="40"/>
      <c r="R10" s="40"/>
      <c r="S10" s="40"/>
      <c r="T10" s="40"/>
      <c r="U10" s="40"/>
      <c r="V10" s="45"/>
      <c r="W10" s="45"/>
      <c r="X10" s="45"/>
      <c r="Y10" s="40"/>
      <c r="Z10" s="40"/>
      <c r="AA10" s="40"/>
      <c r="AB10" s="40"/>
      <c r="AC10" s="40"/>
      <c r="AM10" s="38" t="s">
        <v>359</v>
      </c>
      <c r="AN10" s="2">
        <f>H20</f>
        <v>0.5</v>
      </c>
      <c r="AO10" s="2" t="str">
        <f>I20</f>
        <v>m</v>
      </c>
      <c r="AP10" s="2">
        <f t="shared" si="0"/>
        <v>0.5</v>
      </c>
      <c r="AQ10" s="184" t="s">
        <v>361</v>
      </c>
      <c r="AR10" s="261">
        <f>AP11-AP12-AP13</f>
        <v>9.0487442235307487</v>
      </c>
      <c r="AS10" s="99">
        <f>AR10/AR$15</f>
        <v>0.31502946484879596</v>
      </c>
      <c r="AT10" s="261">
        <f>AR10/D25*100</f>
        <v>2.3564438082111323</v>
      </c>
      <c r="AU10" s="263">
        <f>AS10*($AW$23-SUM($AU$12:$AU$14))</f>
        <v>8.0553785561475397</v>
      </c>
      <c r="AV10" s="99">
        <f t="shared" si="10"/>
        <v>0.20461177903034838</v>
      </c>
      <c r="AW10" s="264">
        <f t="shared" si="1"/>
        <v>8.0553785561475397</v>
      </c>
      <c r="AX10" s="100">
        <f t="shared" si="2"/>
        <v>10169.620226622324</v>
      </c>
      <c r="AY10" s="261">
        <f t="shared" si="3"/>
        <v>6.444302844918032</v>
      </c>
      <c r="AZ10" s="101">
        <f t="shared" si="4"/>
        <v>2542.4050566555811</v>
      </c>
      <c r="BA10" s="263">
        <f t="shared" si="5"/>
        <v>0.89742630641667287</v>
      </c>
      <c r="BB10" s="349">
        <f>AW32</f>
        <v>5.8552831748218859</v>
      </c>
      <c r="BC10" s="102">
        <f>(BB10/AR10)*AW10</f>
        <v>5.2124937296799514</v>
      </c>
      <c r="BD10" s="102">
        <f t="shared" si="11"/>
        <v>5.2124937296799514</v>
      </c>
      <c r="BE10" s="185">
        <f t="shared" si="6"/>
        <v>0.13629542205108147</v>
      </c>
      <c r="BF10" s="265">
        <f t="shared" si="7"/>
        <v>1645.1455786656009</v>
      </c>
      <c r="BG10" s="266">
        <f>ROUND(IF(AZ10-BF10&gt;0,AZ10-BF10,0),3)</f>
        <v>897.25900000000001</v>
      </c>
      <c r="BH10" s="267">
        <f t="shared" si="8"/>
        <v>4.1699949837439609</v>
      </c>
      <c r="BI10" s="315">
        <f t="shared" si="9"/>
        <v>0.68430834587578027</v>
      </c>
      <c r="BJ10" s="344">
        <f t="shared" si="12"/>
        <v>1341.9846622010216</v>
      </c>
    </row>
    <row r="11" spans="1:62" ht="14.25" customHeight="1" x14ac:dyDescent="0.25">
      <c r="A11" s="2"/>
      <c r="B11" s="131" t="s">
        <v>558</v>
      </c>
      <c r="C11" s="137"/>
      <c r="D11" s="47">
        <v>40</v>
      </c>
      <c r="E11" s="92"/>
      <c r="M11" s="167">
        <v>30</v>
      </c>
      <c r="N11" s="44" t="s">
        <v>12</v>
      </c>
      <c r="Q11" s="103"/>
      <c r="R11" s="103"/>
      <c r="S11" s="103"/>
      <c r="T11" s="40"/>
      <c r="U11" s="40"/>
      <c r="V11" s="45"/>
      <c r="W11" s="45"/>
      <c r="X11" s="45"/>
      <c r="Y11" s="40"/>
      <c r="Z11" s="40"/>
      <c r="AA11" s="40"/>
      <c r="AB11" s="40"/>
      <c r="AC11" s="40"/>
      <c r="AM11" s="38" t="s">
        <v>360</v>
      </c>
      <c r="AN11" s="2">
        <f>IF(M11&gt;0,M11,AP9-((AP9-AP13-AP12)/(L20+S7))*L20-AP10)</f>
        <v>30</v>
      </c>
      <c r="AO11" s="2" t="str">
        <f>N11</f>
        <v>PSI</v>
      </c>
      <c r="AP11" s="2">
        <f t="shared" si="0"/>
        <v>21.097488447061497</v>
      </c>
      <c r="AQ11" s="316" t="s">
        <v>51</v>
      </c>
      <c r="AR11" s="321">
        <f>AP13</f>
        <v>10.548744223530749</v>
      </c>
      <c r="AS11" s="319">
        <f>AR11/AR$15</f>
        <v>0.36725153960303308</v>
      </c>
      <c r="AT11" s="317"/>
      <c r="AU11" s="318">
        <f>AS11*($AW$23-SUM($AU$12:$AU$14))</f>
        <v>9.3907094634794088</v>
      </c>
      <c r="AV11" s="319">
        <f t="shared" si="10"/>
        <v>0.23853004005792841</v>
      </c>
      <c r="AW11" s="329">
        <f t="shared" si="1"/>
        <v>9.3907094634794088</v>
      </c>
      <c r="AX11" s="320">
        <f t="shared" si="2"/>
        <v>11855.426562076609</v>
      </c>
      <c r="AY11" s="321">
        <f t="shared" si="3"/>
        <v>7.5125675707835278</v>
      </c>
      <c r="AZ11" s="322">
        <f t="shared" si="4"/>
        <v>2963.8566405191527</v>
      </c>
      <c r="BA11" s="318">
        <f t="shared" si="5"/>
        <v>1.0461916407405729</v>
      </c>
      <c r="BB11" s="350" cm="1">
        <f t="array" ref="BB11">_xlfn.IFS(OR(D26=BC37,AR11&lt;AP14+AS23*VLOOKUP(AT23,AZ$27:BA$30,2,FALSE)),VLOOKUP(AT23,AZ$27:BA$30,2,FALSE)*AS23+AP14,E26=AZ24,VLOOKUP(AT23,AZ$27:BA$30,2,FALSE)*AS23+AP14,E26=AZ25,AR11)</f>
        <v>10.548744223530749</v>
      </c>
      <c r="BC11" s="330">
        <f>IFERROR((BB11/AR11)*AW11,0)</f>
        <v>9.3907094634794088</v>
      </c>
      <c r="BD11" s="330">
        <f>BC11</f>
        <v>9.3907094634794088</v>
      </c>
      <c r="BE11" s="323">
        <f t="shared" si="6"/>
        <v>0.24554671450177412</v>
      </c>
      <c r="BF11" s="324">
        <f t="shared" si="7"/>
        <v>2963.8566405191523</v>
      </c>
      <c r="BG11" s="338">
        <f>ROUND(AZ11-BF11,3)</f>
        <v>0</v>
      </c>
      <c r="BH11" s="325">
        <f t="shared" si="8"/>
        <v>7.5125675707835269</v>
      </c>
      <c r="BI11" s="326">
        <f t="shared" si="9"/>
        <v>1.232834261835783</v>
      </c>
      <c r="BJ11" s="344">
        <f>((AR11-BB11)*BA$15)*D$13*AW$25</f>
        <v>0</v>
      </c>
    </row>
    <row r="12" spans="1:62" ht="14.25" customHeight="1" x14ac:dyDescent="0.25">
      <c r="A12" s="2"/>
      <c r="B12" s="131" t="s">
        <v>7</v>
      </c>
      <c r="C12" s="137"/>
      <c r="D12" s="254">
        <f>IF(D7="Diesel",ABS((D9-D8))/(D10/60),ABS((D9-D8)*D11)/(D10/60))</f>
        <v>39.369085173501922</v>
      </c>
      <c r="E12" s="92" t="str">
        <f>VLOOKUP(D7,AZ32:BC33,2,FALSE)</f>
        <v>kW</v>
      </c>
      <c r="Q12" s="103"/>
      <c r="R12" s="103"/>
      <c r="S12" s="103"/>
      <c r="T12" s="40"/>
      <c r="U12" s="40"/>
      <c r="V12" s="45"/>
      <c r="W12" s="45"/>
      <c r="X12" s="45"/>
      <c r="Y12" s="40"/>
      <c r="Z12" s="40"/>
      <c r="AA12" s="40"/>
      <c r="AB12" s="40"/>
      <c r="AC12" s="40"/>
      <c r="AM12" s="38" t="s">
        <v>362</v>
      </c>
      <c r="AN12" s="2">
        <f>H14</f>
        <v>1.5</v>
      </c>
      <c r="AO12" s="2" t="str">
        <f>I14</f>
        <v>m</v>
      </c>
      <c r="AP12" s="2">
        <f t="shared" si="0"/>
        <v>1.5</v>
      </c>
      <c r="AQ12" s="300" t="s">
        <v>356</v>
      </c>
      <c r="AR12" s="301"/>
      <c r="AS12" s="301"/>
      <c r="AT12" s="301"/>
      <c r="AU12" s="302">
        <f>(AW23-AU14-AU13-AU17-AU16)*(1-(AW24/100))</f>
        <v>10.409582460661314</v>
      </c>
      <c r="AV12" s="303">
        <f t="shared" si="10"/>
        <v>0.26441006731006472</v>
      </c>
      <c r="AW12" s="304">
        <f t="shared" si="1"/>
        <v>10.409582460661314</v>
      </c>
      <c r="AX12" s="305">
        <f t="shared" si="2"/>
        <v>13141.716383005372</v>
      </c>
      <c r="AY12" s="306">
        <f t="shared" si="3"/>
        <v>8.3276659685290522</v>
      </c>
      <c r="AZ12" s="307">
        <f t="shared" si="4"/>
        <v>3285.4290957513435</v>
      </c>
      <c r="BA12" s="302">
        <f>AV12*AW$30</f>
        <v>1.1597013192982413</v>
      </c>
      <c r="BB12" s="300"/>
      <c r="BC12" s="308">
        <f>AN34*(1-M39/100)</f>
        <v>7.1959641955836604</v>
      </c>
      <c r="BD12" s="309">
        <f t="shared" si="11"/>
        <v>7.1959641955836604</v>
      </c>
      <c r="BE12" s="310">
        <f t="shared" si="6"/>
        <v>0.18815887902502396</v>
      </c>
      <c r="BF12" s="311">
        <f t="shared" si="7"/>
        <v>2271.1602727102577</v>
      </c>
      <c r="BG12" s="312">
        <f>ROUND(IF(AZ12-BF12&gt;0,AZ12-BF12,0),3)</f>
        <v>1014.269</v>
      </c>
      <c r="BH12" s="313">
        <f t="shared" si="8"/>
        <v>5.7567713564669285</v>
      </c>
      <c r="BI12" s="315">
        <f>(BD12/($AW$28/24))/$BB$15</f>
        <v>0.94470297923284907</v>
      </c>
    </row>
    <row r="13" spans="1:62" ht="14.25" customHeight="1" x14ac:dyDescent="0.25">
      <c r="A13" s="2"/>
      <c r="B13" s="133" t="s">
        <v>28</v>
      </c>
      <c r="C13" s="138"/>
      <c r="D13" s="122">
        <v>0.25</v>
      </c>
      <c r="E13" s="93" t="str">
        <f>VLOOKUP($D$7,$AZ$32:$BC$33,4, FALSE)</f>
        <v>/kWh</v>
      </c>
      <c r="H13" s="42" t="s">
        <v>49</v>
      </c>
      <c r="I13" s="43"/>
      <c r="M13" s="40"/>
      <c r="N13" s="40"/>
      <c r="O13" s="40"/>
      <c r="P13" s="40"/>
      <c r="Q13" s="40"/>
      <c r="R13" s="40"/>
      <c r="S13" s="40"/>
      <c r="T13" s="40"/>
      <c r="U13" s="40"/>
      <c r="V13" s="40"/>
      <c r="W13" s="40"/>
      <c r="X13" s="40"/>
      <c r="Y13" s="40"/>
      <c r="Z13" s="40"/>
      <c r="AA13" s="40"/>
      <c r="AB13" s="40"/>
      <c r="AC13" s="40"/>
      <c r="AM13" s="38" t="s">
        <v>51</v>
      </c>
      <c r="AN13" s="2">
        <f>S7</f>
        <v>15</v>
      </c>
      <c r="AO13" s="2" t="str">
        <f>T7</f>
        <v>PSI</v>
      </c>
      <c r="AP13" s="2">
        <f t="shared" si="0"/>
        <v>10.548744223530749</v>
      </c>
      <c r="AQ13" s="184" t="s">
        <v>365</v>
      </c>
      <c r="AR13" s="262"/>
      <c r="AS13" s="262"/>
      <c r="AT13" s="262"/>
      <c r="AU13" s="263">
        <f>(AW23-AU14)*(1-(AW36/100))</f>
        <v>0</v>
      </c>
      <c r="AV13" s="99">
        <f t="shared" si="10"/>
        <v>0</v>
      </c>
      <c r="AW13" s="264">
        <f t="shared" si="1"/>
        <v>0</v>
      </c>
      <c r="AX13" s="100">
        <f t="shared" si="2"/>
        <v>0</v>
      </c>
      <c r="AY13" s="261">
        <f t="shared" si="3"/>
        <v>0</v>
      </c>
      <c r="AZ13" s="101">
        <f t="shared" si="4"/>
        <v>0</v>
      </c>
      <c r="BA13" s="263">
        <f t="shared" si="5"/>
        <v>0</v>
      </c>
      <c r="BB13" s="184"/>
      <c r="BC13" s="270">
        <v>0</v>
      </c>
      <c r="BD13" s="102">
        <f t="shared" si="11"/>
        <v>0</v>
      </c>
      <c r="BE13" s="185">
        <f t="shared" si="6"/>
        <v>0</v>
      </c>
      <c r="BF13" s="265">
        <f t="shared" si="7"/>
        <v>0</v>
      </c>
      <c r="BG13" s="266">
        <f>ROUND(IF(AZ13-BF13&gt;0,AZ13-BF13,0),3)</f>
        <v>0</v>
      </c>
      <c r="BH13" s="267">
        <f t="shared" si="8"/>
        <v>0</v>
      </c>
      <c r="BI13" s="315">
        <f t="shared" si="9"/>
        <v>0</v>
      </c>
    </row>
    <row r="14" spans="1:62" ht="14.25" customHeight="1" thickBot="1" x14ac:dyDescent="0.3">
      <c r="A14" s="2"/>
      <c r="B14" s="41"/>
      <c r="C14" s="41"/>
      <c r="D14" s="41"/>
      <c r="E14" s="41"/>
      <c r="H14" s="167">
        <v>1.5</v>
      </c>
      <c r="I14" s="179" t="s">
        <v>35</v>
      </c>
      <c r="Q14" s="40"/>
      <c r="R14" s="40"/>
      <c r="S14" s="40"/>
      <c r="T14" s="40"/>
      <c r="U14" s="40"/>
      <c r="V14" s="40"/>
      <c r="W14" s="40"/>
      <c r="X14" s="40"/>
      <c r="Y14" s="40"/>
      <c r="Z14" s="40"/>
      <c r="AA14" s="40"/>
      <c r="AB14" s="40"/>
      <c r="AC14" s="40"/>
      <c r="AM14" s="104" t="s">
        <v>50</v>
      </c>
      <c r="AN14" s="105">
        <f>P7</f>
        <v>10</v>
      </c>
      <c r="AO14" s="105" t="str">
        <f>Q7</f>
        <v>PSI</v>
      </c>
      <c r="AP14" s="105">
        <f t="shared" si="0"/>
        <v>7.0324961490204991</v>
      </c>
      <c r="AQ14" s="184" t="s">
        <v>357</v>
      </c>
      <c r="AR14" s="262"/>
      <c r="AS14" s="262"/>
      <c r="AT14" s="262"/>
      <c r="AU14" s="263">
        <f>(1-(AW35/100))*(AW23-(AW41+AW39))</f>
        <v>2.2642641955836154</v>
      </c>
      <c r="AV14" s="99">
        <f t="shared" si="10"/>
        <v>5.7513762019230752E-2</v>
      </c>
      <c r="AW14" s="264">
        <f t="shared" si="1"/>
        <v>2.2642641955836154</v>
      </c>
      <c r="AX14" s="100">
        <f t="shared" si="2"/>
        <v>2858.5505698240349</v>
      </c>
      <c r="AY14" s="261">
        <f t="shared" si="3"/>
        <v>1.8114113564668923</v>
      </c>
      <c r="AZ14" s="101">
        <f t="shared" si="4"/>
        <v>714.63764245600873</v>
      </c>
      <c r="BA14" s="263">
        <f t="shared" si="5"/>
        <v>0.25225509138156826</v>
      </c>
      <c r="BB14" s="351"/>
      <c r="BC14" s="271">
        <f>AW14*AW35/IF(D7=AZ32,AS30,AS29)</f>
        <v>2.2380463996347526</v>
      </c>
      <c r="BD14" s="102">
        <f t="shared" si="11"/>
        <v>2.2380463996347526</v>
      </c>
      <c r="BE14" s="185">
        <f t="shared" si="6"/>
        <v>5.8520066292118339E-2</v>
      </c>
      <c r="BF14" s="265">
        <f t="shared" si="7"/>
        <v>706.36289080651818</v>
      </c>
      <c r="BG14" s="266">
        <f>ROUND(IF(AZ14-BF14&gt;0,AZ14-BF14,0),3)</f>
        <v>8.2750000000000004</v>
      </c>
      <c r="BH14" s="267">
        <f t="shared" si="8"/>
        <v>1.7904371197078022</v>
      </c>
      <c r="BI14" s="315">
        <f t="shared" si="9"/>
        <v>0.29381595626808332</v>
      </c>
    </row>
    <row r="15" spans="1:62" ht="14.25" customHeight="1" thickBot="1" x14ac:dyDescent="0.3">
      <c r="A15" s="2"/>
      <c r="B15" s="127" t="s">
        <v>55</v>
      </c>
      <c r="C15" s="128"/>
      <c r="D15" s="88"/>
      <c r="E15" s="91"/>
      <c r="I15" s="1"/>
      <c r="J15" s="40"/>
      <c r="K15" s="40"/>
      <c r="R15" s="41"/>
      <c r="S15" s="48"/>
      <c r="T15" s="40"/>
      <c r="U15" s="40"/>
      <c r="V15" s="40"/>
      <c r="W15" s="40"/>
      <c r="X15" s="40"/>
      <c r="Y15" s="40"/>
      <c r="Z15" s="40"/>
      <c r="AA15" s="40"/>
      <c r="AB15" s="40"/>
      <c r="AC15" s="40"/>
      <c r="AD15" s="40"/>
      <c r="AE15" s="40"/>
      <c r="AQ15" s="274" t="s">
        <v>358</v>
      </c>
      <c r="AR15" s="275">
        <f>SUM(AR7:AR11)</f>
        <v>28.723485366277899</v>
      </c>
      <c r="AS15" s="276">
        <f>SUM(AS7:AS11)</f>
        <v>1</v>
      </c>
      <c r="AT15" s="277"/>
      <c r="AU15" s="278">
        <f t="shared" ref="AU15:BH15" si="13">SUM(AU7:AU14)</f>
        <v>38.244085173501922</v>
      </c>
      <c r="AV15" s="276">
        <f t="shared" si="13"/>
        <v>0.97142427884615401</v>
      </c>
      <c r="AW15" s="279">
        <f t="shared" si="13"/>
        <v>38.244085173501922</v>
      </c>
      <c r="AX15" s="280">
        <f t="shared" si="13"/>
        <v>48281.7560240292</v>
      </c>
      <c r="AY15" s="281">
        <f t="shared" si="13"/>
        <v>30.595268138801536</v>
      </c>
      <c r="AZ15" s="282">
        <f t="shared" si="13"/>
        <v>12070.4390060073</v>
      </c>
      <c r="BA15" s="278">
        <f t="shared" si="13"/>
        <v>4.2606623463211273</v>
      </c>
      <c r="BB15" s="352">
        <f t="shared" si="13"/>
        <v>24.374947398352631</v>
      </c>
      <c r="BC15" s="283">
        <f t="shared" si="13"/>
        <v>31.133091012290926</v>
      </c>
      <c r="BD15" s="283">
        <f t="shared" si="13"/>
        <v>31.133091012290926</v>
      </c>
      <c r="BE15" s="284">
        <f t="shared" si="13"/>
        <v>0.81406290334961473</v>
      </c>
      <c r="BF15" s="282">
        <f t="shared" si="13"/>
        <v>9826.0966219347392</v>
      </c>
      <c r="BG15" s="285">
        <f t="shared" si="13"/>
        <v>2244.3420000000001</v>
      </c>
      <c r="BH15" s="347">
        <f t="shared" si="13"/>
        <v>24.906472809832742</v>
      </c>
      <c r="BI15" s="355">
        <f>SUM(BI7:BI14)</f>
        <v>4.0872248711422507</v>
      </c>
      <c r="BJ15">
        <f>SUM(BJ9:BJ14)</f>
        <v>1827.3813793075392</v>
      </c>
    </row>
    <row r="16" spans="1:62" ht="14.25" customHeight="1" x14ac:dyDescent="0.25">
      <c r="A16" s="2"/>
      <c r="B16" s="131" t="s">
        <v>382</v>
      </c>
      <c r="C16" s="137"/>
      <c r="D16" s="163"/>
      <c r="E16" s="178" t="s">
        <v>380</v>
      </c>
      <c r="I16" s="1"/>
      <c r="J16" s="40"/>
      <c r="K16" s="40"/>
      <c r="L16" s="40"/>
      <c r="M16" s="40"/>
      <c r="R16" s="41"/>
      <c r="S16" s="50"/>
      <c r="T16" s="40"/>
      <c r="U16" s="40"/>
      <c r="V16" s="40"/>
      <c r="W16" s="40"/>
      <c r="X16" s="40"/>
      <c r="Y16" s="40"/>
      <c r="Z16" s="40"/>
      <c r="AA16" s="40"/>
      <c r="AB16" s="40"/>
      <c r="AC16" s="40"/>
      <c r="AD16" s="40"/>
      <c r="AE16" s="40"/>
      <c r="AQ16" s="262" t="s">
        <v>406</v>
      </c>
      <c r="AR16" s="272"/>
      <c r="AS16" s="99"/>
      <c r="AT16" s="262"/>
      <c r="AU16" s="263">
        <f>AW41</f>
        <v>1.125</v>
      </c>
      <c r="AV16" s="99">
        <f>AU16/AW$34</f>
        <v>2.8575721153845903E-2</v>
      </c>
      <c r="AW16" s="264">
        <f>AV16*AW$34</f>
        <v>1.125</v>
      </c>
      <c r="AX16" s="100">
        <f>AW16*(AW$25/AW$28)*24</f>
        <v>1420.2712728154706</v>
      </c>
      <c r="AY16" s="261">
        <f>AV16*AW$26</f>
        <v>0.9</v>
      </c>
      <c r="AZ16" s="101">
        <f>AY16*AW$25</f>
        <v>355.06781820386766</v>
      </c>
      <c r="BA16" s="263">
        <f>AV16*AW$30</f>
        <v>0.12533297941016905</v>
      </c>
      <c r="BB16" s="349"/>
      <c r="BC16" s="269">
        <f>AW16</f>
        <v>1.125</v>
      </c>
      <c r="BD16" s="102">
        <f t="shared" si="11"/>
        <v>1.125</v>
      </c>
      <c r="BE16" s="185">
        <f>BD16/AW$15</f>
        <v>2.9416313526554841E-2</v>
      </c>
      <c r="BF16" s="265">
        <f>BD16/(AW$28/24)*D$13*AW$25</f>
        <v>355.06781820386766</v>
      </c>
      <c r="BG16" s="266">
        <f>ROUND(IF(AZ16-BF16&gt;0,AZ16-BF16,0),3)</f>
        <v>0</v>
      </c>
      <c r="BH16" s="267">
        <f>AY16</f>
        <v>0.9</v>
      </c>
      <c r="BI16" s="290"/>
    </row>
    <row r="17" spans="1:61" ht="14.25" customHeight="1" thickBot="1" x14ac:dyDescent="0.3">
      <c r="A17" s="2"/>
      <c r="B17" s="131" t="s">
        <v>383</v>
      </c>
      <c r="C17" s="137"/>
      <c r="D17" s="163"/>
      <c r="E17" s="92" t="s">
        <v>380</v>
      </c>
      <c r="K17" s="40"/>
      <c r="L17" s="40"/>
      <c r="M17" s="40"/>
      <c r="N17" s="40"/>
      <c r="O17" s="40"/>
      <c r="P17" s="40"/>
      <c r="Q17" s="40"/>
      <c r="R17" s="40"/>
      <c r="S17" s="40"/>
      <c r="T17" s="40"/>
      <c r="U17" s="40"/>
      <c r="V17" s="40"/>
      <c r="W17" s="40"/>
      <c r="X17" s="40"/>
      <c r="Y17" s="40"/>
      <c r="Z17" s="40"/>
      <c r="AA17" s="40"/>
      <c r="AB17" s="40"/>
      <c r="AC17" s="40"/>
      <c r="AD17" s="40"/>
      <c r="AE17" s="40"/>
      <c r="AQ17" s="262" t="s">
        <v>86</v>
      </c>
      <c r="AR17" s="272"/>
      <c r="AS17" s="99"/>
      <c r="AT17" s="262"/>
      <c r="AU17" s="263">
        <f>AW39</f>
        <v>0</v>
      </c>
      <c r="AV17" s="99">
        <f>AU17/AW$34</f>
        <v>0</v>
      </c>
      <c r="AW17" s="264">
        <f>AV17*AW$34</f>
        <v>0</v>
      </c>
      <c r="AX17" s="100">
        <f>AW17*(AW$25/AW$28)*24</f>
        <v>0</v>
      </c>
      <c r="AY17" s="261">
        <f>AV17*AW$26</f>
        <v>0</v>
      </c>
      <c r="AZ17" s="101">
        <f>AY17*AW$25</f>
        <v>0</v>
      </c>
      <c r="BA17" s="263">
        <f>AV17*AW$30</f>
        <v>0</v>
      </c>
      <c r="BB17" s="349"/>
      <c r="BC17" s="273">
        <f>AW17</f>
        <v>0</v>
      </c>
      <c r="BD17" s="102">
        <f t="shared" si="11"/>
        <v>0</v>
      </c>
      <c r="BE17" s="185">
        <f>BD17/AW$15</f>
        <v>0</v>
      </c>
      <c r="BF17" s="265">
        <f>BD17/(AW$28/24)*D$13*AW$25</f>
        <v>0</v>
      </c>
      <c r="BG17" s="266">
        <f>ROUND(IF(AZ17-BF17&gt;0,AZ17-BF17,0),3)</f>
        <v>0</v>
      </c>
      <c r="BH17" s="267">
        <f>AY17</f>
        <v>0</v>
      </c>
      <c r="BI17" s="299"/>
    </row>
    <row r="18" spans="1:61" ht="14.25" customHeight="1" x14ac:dyDescent="0.25">
      <c r="A18" s="2"/>
      <c r="B18" s="131" t="s">
        <v>384</v>
      </c>
      <c r="C18" s="137"/>
      <c r="D18" s="163"/>
      <c r="E18" s="92" t="s">
        <v>385</v>
      </c>
      <c r="K18" s="40"/>
      <c r="N18" s="40"/>
      <c r="O18" s="40"/>
      <c r="P18" s="40"/>
      <c r="Q18" s="40"/>
      <c r="R18" s="40"/>
      <c r="S18" s="40"/>
      <c r="T18" s="40"/>
      <c r="U18" s="40"/>
      <c r="V18" s="40"/>
      <c r="W18" s="40"/>
      <c r="X18" s="40"/>
      <c r="Y18" s="40"/>
      <c r="Z18" s="40"/>
      <c r="AA18" s="40"/>
      <c r="AB18" s="40"/>
      <c r="AC18" s="40"/>
      <c r="AD18" s="40"/>
      <c r="AE18" s="40"/>
      <c r="AQ18" s="286"/>
      <c r="AR18" s="287"/>
      <c r="AS18" s="287"/>
      <c r="AT18" s="287"/>
      <c r="AU18" s="287"/>
      <c r="AV18" s="288">
        <f t="shared" ref="AV18:BA18" si="14">SUM(AV15:AV17)</f>
        <v>0.99999999999999989</v>
      </c>
      <c r="AW18" s="288">
        <f t="shared" si="14"/>
        <v>39.369085173501922</v>
      </c>
      <c r="AX18" s="288">
        <f t="shared" si="14"/>
        <v>49702.027296844673</v>
      </c>
      <c r="AY18" s="288">
        <f t="shared" si="14"/>
        <v>31.495268138801535</v>
      </c>
      <c r="AZ18" s="288">
        <f t="shared" si="14"/>
        <v>12425.506824211168</v>
      </c>
      <c r="BA18" s="288">
        <f t="shared" si="14"/>
        <v>4.3859953257312965</v>
      </c>
      <c r="BB18" s="353"/>
      <c r="BC18" s="288">
        <f t="shared" ref="BC18:BH18" si="15">SUM(BC15:BC17)</f>
        <v>32.258091012290926</v>
      </c>
      <c r="BD18" s="288">
        <f t="shared" si="15"/>
        <v>32.258091012290926</v>
      </c>
      <c r="BE18" s="289">
        <f t="shared" si="15"/>
        <v>0.84347921687616956</v>
      </c>
      <c r="BF18" s="288">
        <f t="shared" si="15"/>
        <v>10181.164440138607</v>
      </c>
      <c r="BG18" s="288">
        <f t="shared" si="15"/>
        <v>2244.3420000000001</v>
      </c>
      <c r="BH18" s="288">
        <f t="shared" si="15"/>
        <v>25.806472809832741</v>
      </c>
      <c r="BI18" s="290"/>
    </row>
    <row r="19" spans="1:61" ht="14.25" customHeight="1" thickBot="1" x14ac:dyDescent="0.3">
      <c r="A19" s="2"/>
      <c r="B19" s="131" t="s">
        <v>288</v>
      </c>
      <c r="C19" s="137"/>
      <c r="D19" s="237" t="str">
        <f>IFERROR((D17-D16)*100/D18/6,"")</f>
        <v/>
      </c>
      <c r="E19" s="92" t="s">
        <v>65</v>
      </c>
      <c r="H19" s="42" t="s">
        <v>47</v>
      </c>
      <c r="I19" s="43"/>
      <c r="L19" s="42" t="s">
        <v>48</v>
      </c>
      <c r="M19" s="43"/>
      <c r="O19" s="41"/>
      <c r="P19" s="41"/>
      <c r="Q19" s="40"/>
      <c r="R19" s="40"/>
      <c r="S19" s="40"/>
      <c r="T19" s="40"/>
      <c r="U19" s="40"/>
      <c r="V19" s="40"/>
      <c r="W19" s="40"/>
      <c r="X19" s="40"/>
      <c r="Y19" s="40"/>
      <c r="Z19" s="40"/>
      <c r="AA19" s="40"/>
      <c r="AB19" s="40"/>
      <c r="AC19" s="40"/>
      <c r="AD19" s="40"/>
      <c r="AE19" s="40"/>
      <c r="AQ19" s="291"/>
      <c r="AR19" s="292"/>
      <c r="AS19" s="292"/>
      <c r="AT19" s="292"/>
      <c r="AU19" s="293"/>
      <c r="AV19" s="292">
        <v>2.7250000000000001</v>
      </c>
      <c r="AW19" s="294"/>
      <c r="AX19" s="295">
        <f>AW18*(AW$25/AW$28)*24</f>
        <v>49702.027296844666</v>
      </c>
      <c r="AY19" s="292"/>
      <c r="AZ19" s="296">
        <f>AX19*0.25</f>
        <v>12425.506824211167</v>
      </c>
      <c r="BA19" s="297">
        <f>AX19/AW25/AR15</f>
        <v>4.3859953257312965</v>
      </c>
      <c r="BB19" s="354"/>
      <c r="BC19" s="292"/>
      <c r="BD19" s="292"/>
      <c r="BE19" s="292"/>
      <c r="BF19" s="292"/>
      <c r="BG19" s="298">
        <f>BF18+BG18</f>
        <v>12425.506440138608</v>
      </c>
      <c r="BH19" s="292"/>
      <c r="BI19" s="299"/>
    </row>
    <row r="20" spans="1:61" ht="14.25" customHeight="1" x14ac:dyDescent="0.25">
      <c r="A20" s="2"/>
      <c r="B20" s="131" t="s">
        <v>541</v>
      </c>
      <c r="C20" s="137"/>
      <c r="D20" s="163">
        <v>7.5</v>
      </c>
      <c r="E20" s="92" t="s">
        <v>65</v>
      </c>
      <c r="H20" s="167">
        <v>0.5</v>
      </c>
      <c r="I20" s="179" t="s">
        <v>35</v>
      </c>
      <c r="L20" s="75">
        <v>38</v>
      </c>
      <c r="M20" s="44" t="s">
        <v>12</v>
      </c>
      <c r="T20" s="40"/>
      <c r="U20" s="40"/>
      <c r="Y20" s="1"/>
      <c r="Z20" s="1"/>
      <c r="AA20" s="40"/>
      <c r="AB20" s="40"/>
      <c r="AC20" s="40"/>
      <c r="AD20" s="40"/>
      <c r="AE20" s="40"/>
    </row>
    <row r="21" spans="1:61" ht="14.25" customHeight="1" x14ac:dyDescent="0.25">
      <c r="B21" s="133" t="s">
        <v>56</v>
      </c>
      <c r="C21" s="138"/>
      <c r="D21" s="49">
        <v>8</v>
      </c>
      <c r="E21" s="93" t="s">
        <v>44</v>
      </c>
      <c r="I21" s="1"/>
      <c r="J21" s="40"/>
      <c r="K21" s="40"/>
      <c r="L21" s="40"/>
      <c r="M21" s="40"/>
      <c r="N21" s="40"/>
      <c r="T21" s="40"/>
      <c r="U21" s="40"/>
      <c r="Y21" s="1"/>
      <c r="Z21" s="1"/>
      <c r="AA21" s="40"/>
      <c r="AB21" s="40"/>
      <c r="AC21" s="40"/>
      <c r="AD21" s="40"/>
      <c r="AE21" s="40"/>
      <c r="AM21" s="34" t="s">
        <v>9</v>
      </c>
      <c r="AN21" s="34"/>
      <c r="AO21" s="34"/>
      <c r="AP21" s="34"/>
      <c r="AW21" s="52"/>
    </row>
    <row r="22" spans="1:61" ht="14.25" customHeight="1" x14ac:dyDescent="0.25">
      <c r="B22" s="51"/>
      <c r="C22" s="51"/>
      <c r="D22" s="40"/>
      <c r="E22" s="40"/>
      <c r="K22" s="1"/>
      <c r="L22" s="1"/>
      <c r="M22" s="40"/>
      <c r="N22" s="40"/>
      <c r="Y22" s="1"/>
      <c r="Z22" s="1"/>
      <c r="AA22" s="40"/>
      <c r="AB22" s="40"/>
      <c r="AM22" s="57">
        <v>1</v>
      </c>
      <c r="AN22" s="58" t="s">
        <v>35</v>
      </c>
      <c r="AO22" s="59">
        <v>10</v>
      </c>
      <c r="AP22" s="60" t="s">
        <v>35</v>
      </c>
      <c r="AQ22" s="37"/>
      <c r="AR22" s="35" t="s">
        <v>436</v>
      </c>
      <c r="AV22" s="35" t="s">
        <v>374</v>
      </c>
      <c r="AY22" s="37"/>
      <c r="AZ22" s="35" t="s">
        <v>375</v>
      </c>
      <c r="BG22" s="35" t="s">
        <v>444</v>
      </c>
    </row>
    <row r="23" spans="1:61" ht="14.25" customHeight="1" x14ac:dyDescent="0.25">
      <c r="B23" s="130" t="s">
        <v>45</v>
      </c>
      <c r="C23" s="135"/>
      <c r="D23" s="90"/>
      <c r="E23" s="91"/>
      <c r="H23" s="42" t="s">
        <v>46</v>
      </c>
      <c r="I23" s="43"/>
      <c r="K23" s="1"/>
      <c r="L23" s="1"/>
      <c r="M23" s="40"/>
      <c r="N23" s="40"/>
      <c r="Q23" s="379" t="str">
        <f>BG30</f>
        <v>Warning: There is a pressure gain in the pivot. Check pressure measurements, units, and lift from pivot base to end of pivot.</v>
      </c>
      <c r="R23" s="379"/>
      <c r="S23" s="379"/>
      <c r="T23" s="379"/>
      <c r="U23" s="379"/>
      <c r="Y23" s="1"/>
      <c r="Z23" s="1"/>
      <c r="AA23" s="40"/>
      <c r="AB23" s="40"/>
      <c r="AM23" s="63" t="s">
        <v>11</v>
      </c>
      <c r="AN23" s="63"/>
      <c r="AO23" s="63" t="s">
        <v>11</v>
      </c>
      <c r="AP23" s="63"/>
      <c r="AQ23" s="37"/>
      <c r="AR23" s="53" t="s">
        <v>364</v>
      </c>
      <c r="AS23" s="146">
        <v>5</v>
      </c>
      <c r="AT23" s="60" t="s">
        <v>12</v>
      </c>
      <c r="AV23" s="53" t="s">
        <v>552</v>
      </c>
      <c r="AW23" s="55">
        <f>IF(D7=AZ33,AW34-(AW41+AW39),AW34*AS36)</f>
        <v>38.244085173501922</v>
      </c>
      <c r="AX23" s="35" t="s">
        <v>363</v>
      </c>
      <c r="AZ23" s="56" t="s">
        <v>87</v>
      </c>
      <c r="BB23" s="37" t="s">
        <v>414</v>
      </c>
      <c r="BD23" s="35" t="s">
        <v>434</v>
      </c>
      <c r="BG23" s="4" t="str">
        <f>"Booster pump assumed to be adding "&amp;AS25&amp;" "&amp;AT25&amp;". "</f>
        <v xml:space="preserve">Booster pump assumed to be adding 40 PSI. </v>
      </c>
    </row>
    <row r="24" spans="1:61" ht="14.25" customHeight="1" x14ac:dyDescent="0.25">
      <c r="B24" s="132" t="s">
        <v>387</v>
      </c>
      <c r="C24" s="136"/>
      <c r="D24" s="144">
        <v>360</v>
      </c>
      <c r="E24" s="145" t="s">
        <v>388</v>
      </c>
      <c r="H24" s="75">
        <v>1</v>
      </c>
      <c r="I24" s="179" t="s">
        <v>35</v>
      </c>
      <c r="M24" s="50"/>
      <c r="N24" s="50"/>
      <c r="Q24" s="379"/>
      <c r="R24" s="379"/>
      <c r="S24" s="379"/>
      <c r="T24" s="379"/>
      <c r="U24" s="379"/>
      <c r="V24" s="1"/>
      <c r="W24" s="1"/>
      <c r="X24" s="1"/>
      <c r="Z24" s="35"/>
      <c r="AA24" s="35"/>
      <c r="AB24" s="40"/>
      <c r="AM24" s="64">
        <v>0.70299999999999996</v>
      </c>
      <c r="AN24" s="65" t="s">
        <v>12</v>
      </c>
      <c r="AO24" s="66">
        <f>AO$22/AM24</f>
        <v>14.224751066856332</v>
      </c>
      <c r="AP24" s="65" t="s">
        <v>12</v>
      </c>
      <c r="AR24" s="53" t="s">
        <v>435</v>
      </c>
      <c r="AS24" s="146">
        <v>20</v>
      </c>
      <c r="AT24" s="1" t="s">
        <v>35</v>
      </c>
      <c r="AV24" s="53" t="s">
        <v>15</v>
      </c>
      <c r="AW24" s="55">
        <f>(AW28/0.0864*AR15)/(1.019977*(AW23-(AW41+AW39))*(AW35/100)*(AW36/100))</f>
        <v>70.134454377900454</v>
      </c>
      <c r="AX24" s="35" t="s">
        <v>36</v>
      </c>
      <c r="AY24" s="37"/>
      <c r="AZ24" s="35" t="s">
        <v>302</v>
      </c>
      <c r="BA24" s="37"/>
      <c r="BB24" s="37" t="s">
        <v>415</v>
      </c>
      <c r="BD24" s="35" t="s">
        <v>433</v>
      </c>
      <c r="BG24" s="35" t="str">
        <f>"Endgun data range is "&amp;ROUND(AW46,1)&amp;" to "&amp;ROUND(AW47,1)&amp;" "&amp;AX46&amp;"."</f>
        <v>Endgun data range is 15 to 30 PSI.</v>
      </c>
    </row>
    <row r="25" spans="1:61" ht="14.25" customHeight="1" x14ac:dyDescent="0.25">
      <c r="B25" s="131" t="s">
        <v>335</v>
      </c>
      <c r="C25" s="137"/>
      <c r="D25" s="62">
        <v>384</v>
      </c>
      <c r="E25" s="92" t="s">
        <v>35</v>
      </c>
      <c r="K25" s="41"/>
      <c r="L25" s="41"/>
      <c r="Q25" s="379"/>
      <c r="R25" s="379"/>
      <c r="S25" s="379"/>
      <c r="T25" s="379"/>
      <c r="U25" s="379"/>
      <c r="V25" s="379" t="str">
        <f>BG22&amp;IF(E26=AZ25," ",BG23)&amp;BG24</f>
        <v>Warning: Endgun pressure outside of data range. Throw distance may be inaccurate.  Endgun data range is 15 to 30 PSI.</v>
      </c>
      <c r="W25" s="379"/>
      <c r="X25" s="379"/>
      <c r="Z25" s="35"/>
      <c r="AA25" s="35"/>
      <c r="AB25" s="40"/>
      <c r="AM25" s="64">
        <v>0.10199773339984</v>
      </c>
      <c r="AN25" s="3" t="s">
        <v>13</v>
      </c>
      <c r="AO25" s="66">
        <f>AO$22/AM25</f>
        <v>98.041394320000506</v>
      </c>
      <c r="AP25" s="3" t="s">
        <v>13</v>
      </c>
      <c r="AQ25" s="37"/>
      <c r="AR25" s="53" t="s">
        <v>405</v>
      </c>
      <c r="AS25" s="147">
        <v>40</v>
      </c>
      <c r="AT25" s="60" t="s">
        <v>12</v>
      </c>
      <c r="AV25" s="53" t="s">
        <v>378</v>
      </c>
      <c r="AW25" s="257">
        <f>D21*D29</f>
        <v>394.5197980042974</v>
      </c>
      <c r="AX25" s="37" t="s">
        <v>366</v>
      </c>
      <c r="AY25" s="37"/>
      <c r="AZ25" s="35" t="s">
        <v>303</v>
      </c>
      <c r="BA25" s="37"/>
      <c r="BD25" s="35" t="s">
        <v>343</v>
      </c>
      <c r="BE25" s="51"/>
    </row>
    <row r="26" spans="1:61" ht="14.25" customHeight="1" x14ac:dyDescent="0.25">
      <c r="B26" s="131" t="s">
        <v>42</v>
      </c>
      <c r="C26" s="137"/>
      <c r="D26" s="164" t="s">
        <v>77</v>
      </c>
      <c r="E26" s="152" t="s">
        <v>303</v>
      </c>
      <c r="K26" s="1"/>
      <c r="L26" s="1"/>
      <c r="V26" s="379"/>
      <c r="W26" s="379"/>
      <c r="X26" s="379"/>
      <c r="Y26" s="35"/>
      <c r="Z26" s="35"/>
      <c r="AA26" s="35"/>
      <c r="AB26" s="41"/>
      <c r="AM26" s="69">
        <v>1</v>
      </c>
      <c r="AN26" s="65" t="s">
        <v>35</v>
      </c>
      <c r="AO26" s="66">
        <f>AO$22/AM26</f>
        <v>10</v>
      </c>
      <c r="AP26" s="65" t="s">
        <v>35</v>
      </c>
      <c r="AQ26" s="37"/>
      <c r="AR26" s="61" t="s">
        <v>409</v>
      </c>
      <c r="AS26" s="147">
        <v>75</v>
      </c>
      <c r="AT26" s="37" t="s">
        <v>36</v>
      </c>
      <c r="AV26" s="53" t="s">
        <v>3</v>
      </c>
      <c r="AW26" s="255">
        <f>D13*AW27</f>
        <v>31.495268138801539</v>
      </c>
      <c r="AX26" s="41" t="s">
        <v>8</v>
      </c>
      <c r="AY26" s="37"/>
      <c r="AZ26" s="37"/>
      <c r="BA26" s="37"/>
      <c r="BG26" s="35" t="s">
        <v>555</v>
      </c>
    </row>
    <row r="27" spans="1:61" ht="14.25" customHeight="1" x14ac:dyDescent="0.25">
      <c r="B27" s="131" t="s">
        <v>90</v>
      </c>
      <c r="C27" s="137"/>
      <c r="D27" s="164">
        <v>0.7</v>
      </c>
      <c r="E27" s="92" t="s">
        <v>294</v>
      </c>
      <c r="G27" s="42" t="s">
        <v>66</v>
      </c>
      <c r="H27" s="43"/>
      <c r="K27" s="1"/>
      <c r="L27" s="1"/>
      <c r="V27" s="379"/>
      <c r="W27" s="379"/>
      <c r="X27" s="379"/>
      <c r="AA27" s="1"/>
      <c r="AM27" s="71">
        <v>10.199773339984</v>
      </c>
      <c r="AN27" s="65" t="s">
        <v>14</v>
      </c>
      <c r="AO27" s="66">
        <f>AO$22/AM27</f>
        <v>0.98041394320000508</v>
      </c>
      <c r="AP27" s="65" t="s">
        <v>14</v>
      </c>
      <c r="AR27" s="61" t="s">
        <v>410</v>
      </c>
      <c r="AS27" s="147">
        <v>90</v>
      </c>
      <c r="AT27" s="37" t="s">
        <v>36</v>
      </c>
      <c r="AV27" t="s">
        <v>553</v>
      </c>
      <c r="AW27" s="337">
        <f>AW34/(AW28/24)</f>
        <v>125.98107255520615</v>
      </c>
      <c r="AX27" t="str">
        <f>VLOOKUP(D7,AZ32:BD33,5,FALSE)</f>
        <v>kWh/ML</v>
      </c>
      <c r="AZ27" s="67" t="s">
        <v>12</v>
      </c>
      <c r="BA27" s="68">
        <v>0.70324961490204996</v>
      </c>
      <c r="BG27" s="35" t="str">
        <f>"If your delivery line is longer than the pivot length plus "&amp;AS24&amp;" m, potential savings may be lower than estimated."</f>
        <v>If your delivery line is longer than the pivot length plus 20 m, potential savings may be lower than estimated.</v>
      </c>
    </row>
    <row r="28" spans="1:61" ht="14.25" customHeight="1" x14ac:dyDescent="0.25">
      <c r="B28" s="132" t="s">
        <v>413</v>
      </c>
      <c r="C28" s="136"/>
      <c r="D28" s="376" t="s">
        <v>414</v>
      </c>
      <c r="E28" s="377"/>
      <c r="G28" s="75">
        <v>1</v>
      </c>
      <c r="H28" s="44" t="s">
        <v>35</v>
      </c>
      <c r="J28" s="50"/>
      <c r="K28" s="50"/>
      <c r="L28" s="50"/>
      <c r="V28" s="379"/>
      <c r="W28" s="379"/>
      <c r="X28" s="379"/>
      <c r="Y28" s="1"/>
      <c r="Z28" s="1"/>
      <c r="AA28" s="1"/>
      <c r="AM28" s="71"/>
      <c r="AN28" s="65"/>
      <c r="AO28" s="66"/>
      <c r="AP28" s="65"/>
      <c r="AR28" s="61"/>
      <c r="AS28" s="1"/>
      <c r="AT28" s="37"/>
      <c r="AV28" s="53" t="s">
        <v>542</v>
      </c>
      <c r="AW28" s="1">
        <f>IF(D20&gt;0,D20,D19)</f>
        <v>7.5</v>
      </c>
      <c r="AX28" s="41" t="s">
        <v>65</v>
      </c>
      <c r="AY28" s="37"/>
      <c r="AZ28" s="70" t="s">
        <v>13</v>
      </c>
      <c r="BA28" s="68">
        <v>0.10199773339984</v>
      </c>
      <c r="BG28" s="35" t="s">
        <v>556</v>
      </c>
    </row>
    <row r="29" spans="1:61" ht="14.25" customHeight="1" x14ac:dyDescent="0.25">
      <c r="B29" s="133" t="s">
        <v>399</v>
      </c>
      <c r="C29" s="138"/>
      <c r="D29" s="106">
        <f>((D25+'Endgun models'!I4)^2*PI()/10000)*D24/360</f>
        <v>49.314974750537175</v>
      </c>
      <c r="E29" s="93" t="s">
        <v>5</v>
      </c>
      <c r="J29" s="50"/>
      <c r="K29" s="50"/>
      <c r="L29" s="50"/>
      <c r="Y29" s="1"/>
      <c r="Z29" s="1"/>
      <c r="AA29" s="1"/>
      <c r="AR29" s="61" t="s">
        <v>417</v>
      </c>
      <c r="AS29" s="146">
        <v>95</v>
      </c>
      <c r="AT29" s="40" t="s">
        <v>36</v>
      </c>
      <c r="AV29" s="61" t="s">
        <v>421</v>
      </c>
      <c r="AW29" s="236">
        <f>AR8</f>
        <v>1</v>
      </c>
      <c r="AX29" s="40" t="s">
        <v>35</v>
      </c>
      <c r="AY29" s="37"/>
      <c r="AZ29" s="67" t="s">
        <v>35</v>
      </c>
      <c r="BA29" s="72">
        <v>1</v>
      </c>
      <c r="BG29" s="35" t="s">
        <v>557</v>
      </c>
    </row>
    <row r="30" spans="1:61" ht="14.25" customHeight="1" x14ac:dyDescent="0.25">
      <c r="G30" s="378" t="str">
        <f>IF(D35&gt;AR49,BG34,IF(D35&lt;AR48,BG32,BG33))</f>
        <v>Motor is running at &gt;50% load. Motor efficiency should be close to rating.</v>
      </c>
      <c r="H30" s="378"/>
      <c r="I30" s="378"/>
      <c r="J30" s="50"/>
      <c r="K30" s="50"/>
      <c r="L30" s="50"/>
      <c r="P30" s="127" t="s">
        <v>40</v>
      </c>
      <c r="Q30" s="128"/>
      <c r="R30" s="128"/>
      <c r="S30" s="129"/>
      <c r="Y30" s="1"/>
      <c r="Z30" s="1"/>
      <c r="AA30" s="1"/>
      <c r="AM30" s="41"/>
      <c r="AN30" s="41"/>
      <c r="AO30" s="41"/>
      <c r="AP30" s="41"/>
      <c r="AR30" s="61" t="s">
        <v>418</v>
      </c>
      <c r="AS30" s="147">
        <v>40</v>
      </c>
      <c r="AT30" s="37" t="s">
        <v>36</v>
      </c>
      <c r="AV30" s="53" t="s">
        <v>367</v>
      </c>
      <c r="AW30" s="258">
        <f>AW27/AR15</f>
        <v>4.3859953257312965</v>
      </c>
      <c r="AX30" s="41" t="s">
        <v>429</v>
      </c>
      <c r="AY30" s="37"/>
      <c r="AZ30" s="67" t="s">
        <v>14</v>
      </c>
      <c r="BA30" s="73">
        <v>10.199773339984</v>
      </c>
      <c r="BG30" s="35" t="s">
        <v>451</v>
      </c>
    </row>
    <row r="31" spans="1:61" ht="14.25" customHeight="1" x14ac:dyDescent="0.25">
      <c r="B31" s="127" t="s">
        <v>389</v>
      </c>
      <c r="C31" s="128"/>
      <c r="D31" s="128"/>
      <c r="E31" s="129"/>
      <c r="G31" s="378"/>
      <c r="H31" s="378"/>
      <c r="I31" s="378"/>
      <c r="J31" s="1"/>
      <c r="K31" s="1"/>
      <c r="L31" s="385" t="str" cm="1">
        <f t="array" ref="L31">_xlfn.IFS(AW50,BG26&amp;BG27,AW51,BG29,TRUE,BG28)</f>
        <v>Warning: Delivery line head loss is excessive. If your delivery line is longer than the pivot length plus 20 m, potential savings may be lower than estimated.</v>
      </c>
      <c r="M31" s="385"/>
      <c r="N31" s="385"/>
      <c r="P31" s="124" t="s">
        <v>344</v>
      </c>
      <c r="Q31" s="232"/>
      <c r="R31" s="229">
        <f>AW28/D29*100</f>
        <v>15.208362242785705</v>
      </c>
      <c r="S31" s="178" t="s">
        <v>41</v>
      </c>
      <c r="Y31" s="1"/>
      <c r="Z31" s="1"/>
      <c r="AK31" s="1"/>
      <c r="AM31" s="127" t="s">
        <v>560</v>
      </c>
      <c r="AN31" s="128"/>
      <c r="AO31" s="129"/>
      <c r="AP31" s="41"/>
      <c r="AR31" s="61"/>
      <c r="AS31" s="147"/>
      <c r="AT31" s="37"/>
      <c r="AV31" s="53" t="s">
        <v>420</v>
      </c>
      <c r="AW31" s="258">
        <f>0.0061*(D25+'Endgun models'!I4)+1.5541</f>
        <v>3.97092</v>
      </c>
      <c r="AX31" s="40" t="s">
        <v>35</v>
      </c>
      <c r="AY31" s="37"/>
      <c r="AZ31" s="37"/>
      <c r="BA31" s="37"/>
    </row>
    <row r="32" spans="1:61" ht="14.25" customHeight="1" x14ac:dyDescent="0.25">
      <c r="B32" s="107" t="s">
        <v>390</v>
      </c>
      <c r="C32" s="139"/>
      <c r="D32" s="94">
        <v>37</v>
      </c>
      <c r="E32" s="108" t="s">
        <v>363</v>
      </c>
      <c r="G32" s="378"/>
      <c r="H32" s="378"/>
      <c r="I32" s="378"/>
      <c r="J32" s="1"/>
      <c r="K32" s="1"/>
      <c r="L32" s="385"/>
      <c r="M32" s="385"/>
      <c r="N32" s="385"/>
      <c r="P32" s="125" t="s">
        <v>62</v>
      </c>
      <c r="Q32" s="228"/>
      <c r="R32" s="182">
        <f>'Endgun models'!K4</f>
        <v>10.317408683792753</v>
      </c>
      <c r="S32" s="179" t="s">
        <v>41</v>
      </c>
      <c r="AK32" s="1"/>
      <c r="AM32" s="124" t="s">
        <v>54</v>
      </c>
      <c r="AN32" s="180">
        <f>AR15/VLOOKUP(AO32,AZ27:BA30,2,FALSE)</f>
        <v>28.723485366277899</v>
      </c>
      <c r="AO32" s="152" t="s">
        <v>35</v>
      </c>
      <c r="AP32" s="41"/>
      <c r="AQ32" s="41"/>
      <c r="AR32" s="61" t="s">
        <v>430</v>
      </c>
      <c r="AS32" s="163">
        <v>0.75</v>
      </c>
      <c r="AT32" s="1" t="s">
        <v>363</v>
      </c>
      <c r="AV32" s="61" t="s">
        <v>422</v>
      </c>
      <c r="AW32" s="259">
        <f>0.7461*EXP(0.0052*(D25+'Endgun models'!I4))</f>
        <v>5.8552831748218859</v>
      </c>
      <c r="AX32" s="37" t="s">
        <v>35</v>
      </c>
      <c r="AY32" s="40"/>
      <c r="AZ32" s="40" t="s">
        <v>2</v>
      </c>
      <c r="BA32" s="1" t="s">
        <v>397</v>
      </c>
      <c r="BB32" s="37" t="s">
        <v>398</v>
      </c>
      <c r="BC32" s="37" t="s">
        <v>423</v>
      </c>
      <c r="BD32" s="37" t="s">
        <v>37</v>
      </c>
      <c r="BE32" s="37" t="s">
        <v>543</v>
      </c>
      <c r="BG32" s="35" t="s">
        <v>445</v>
      </c>
    </row>
    <row r="33" spans="1:71" ht="14.25" customHeight="1" x14ac:dyDescent="0.25">
      <c r="A33" s="37"/>
      <c r="B33" s="131" t="s">
        <v>391</v>
      </c>
      <c r="C33" s="140"/>
      <c r="D33" s="94">
        <v>93.9</v>
      </c>
      <c r="E33" s="109" t="s">
        <v>36</v>
      </c>
      <c r="G33" s="383" t="str">
        <f>BG38</f>
        <v>Note: Drive efficiency could be improved if pump and motor are reconfigured as direct drive.</v>
      </c>
      <c r="H33" s="383"/>
      <c r="I33" s="383"/>
      <c r="J33" s="1"/>
      <c r="K33" s="1"/>
      <c r="L33" s="385"/>
      <c r="M33" s="385"/>
      <c r="N33" s="385"/>
      <c r="T33" s="1"/>
      <c r="U33" s="1"/>
      <c r="V33" s="384" t="str">
        <f>$BG$40</f>
        <v>^Note: Total potential savings are reduced because residual pressure should be increased to improve uniformity.</v>
      </c>
      <c r="W33" s="384"/>
      <c r="X33" s="384"/>
      <c r="AK33" s="1"/>
      <c r="AM33" s="124" t="s">
        <v>288</v>
      </c>
      <c r="AN33" s="231">
        <f>$AW$28</f>
        <v>7.5</v>
      </c>
      <c r="AO33" s="126" t="s">
        <v>65</v>
      </c>
      <c r="AQ33" s="41"/>
      <c r="AR33" s="248" t="s">
        <v>412</v>
      </c>
      <c r="AS33" s="158">
        <v>90</v>
      </c>
      <c r="AT33" s="1" t="s">
        <v>36</v>
      </c>
      <c r="AU33" s="41"/>
      <c r="AV33" s="61" t="s">
        <v>379</v>
      </c>
      <c r="AW33" s="37">
        <f>'Endgun models'!$D$4</f>
        <v>14.999999999999998</v>
      </c>
      <c r="AX33" s="37" t="s">
        <v>12</v>
      </c>
      <c r="AY33" s="40"/>
      <c r="AZ33" s="40" t="s">
        <v>1</v>
      </c>
      <c r="BA33" s="1" t="s">
        <v>363</v>
      </c>
      <c r="BB33" s="37" t="s">
        <v>381</v>
      </c>
      <c r="BC33" s="37" t="s">
        <v>424</v>
      </c>
      <c r="BD33" s="37" t="s">
        <v>31</v>
      </c>
      <c r="BE33" s="37" t="s">
        <v>544</v>
      </c>
      <c r="BG33" s="35" t="s">
        <v>460</v>
      </c>
    </row>
    <row r="34" spans="1:71" ht="14.25" customHeight="1" x14ac:dyDescent="0.25">
      <c r="A34" s="37"/>
      <c r="B34" s="143" t="str">
        <f>IF(E12="kW","(from name plate)","(from motor specs)")</f>
        <v>(from name plate)</v>
      </c>
      <c r="C34" s="141"/>
      <c r="D34" s="94">
        <v>35</v>
      </c>
      <c r="E34" s="110" t="str">
        <f>"%  ("&amp; ROUND(AW30,2) &amp; " L/kWh)"</f>
        <v>%  (4.39 L/kWh)</v>
      </c>
      <c r="G34" s="383"/>
      <c r="H34" s="383"/>
      <c r="I34" s="383"/>
      <c r="J34" s="1"/>
      <c r="K34" s="1"/>
      <c r="L34" s="385"/>
      <c r="M34" s="385"/>
      <c r="N34" s="385"/>
      <c r="O34" s="40"/>
      <c r="P34" s="379" t="str">
        <f>BG35</f>
        <v>Warning: Endgun system capacity is more than 10 % different to the pivot system capacity.</v>
      </c>
      <c r="Q34" s="379"/>
      <c r="R34" s="379"/>
      <c r="S34" s="379"/>
      <c r="T34" s="1"/>
      <c r="U34" s="1"/>
      <c r="V34" s="384"/>
      <c r="W34" s="384"/>
      <c r="X34" s="384"/>
      <c r="AK34" s="1"/>
      <c r="AM34" s="124" t="s">
        <v>551</v>
      </c>
      <c r="AN34" s="168">
        <f>SUM(AU7:AU12)</f>
        <v>35.979820977918308</v>
      </c>
      <c r="AO34" s="126" t="s">
        <v>363</v>
      </c>
      <c r="AQ34" s="41"/>
      <c r="AR34" s="248" t="s">
        <v>448</v>
      </c>
      <c r="AS34" s="158">
        <v>30</v>
      </c>
      <c r="AT34" s="1" t="s">
        <v>36</v>
      </c>
      <c r="AU34" s="41"/>
      <c r="AV34" s="53" t="s">
        <v>7</v>
      </c>
      <c r="AW34" s="55">
        <f>D12</f>
        <v>39.369085173501922</v>
      </c>
      <c r="AX34" s="35" t="s">
        <v>386</v>
      </c>
      <c r="AY34" s="41"/>
      <c r="AZ34" s="41"/>
      <c r="BA34" s="41"/>
      <c r="BG34" s="35" t="s">
        <v>563</v>
      </c>
    </row>
    <row r="35" spans="1:71" ht="14.25" customHeight="1" x14ac:dyDescent="0.25">
      <c r="A35" s="37"/>
      <c r="B35" s="111" t="s">
        <v>392</v>
      </c>
      <c r="C35" s="142"/>
      <c r="D35" s="112">
        <f>(SUM(AU7:AU13)/D32)*100</f>
        <v>97.242759399779217</v>
      </c>
      <c r="E35" s="113" t="s">
        <v>36</v>
      </c>
      <c r="G35" s="383"/>
      <c r="H35" s="383"/>
      <c r="I35" s="383"/>
      <c r="J35" s="1"/>
      <c r="K35" s="1"/>
      <c r="L35" s="385"/>
      <c r="M35" s="385"/>
      <c r="N35" s="385"/>
      <c r="P35" s="379"/>
      <c r="Q35" s="379"/>
      <c r="R35" s="379"/>
      <c r="S35" s="379"/>
      <c r="T35" s="1"/>
      <c r="U35" s="1"/>
      <c r="V35" s="384"/>
      <c r="W35" s="384"/>
      <c r="X35" s="384"/>
      <c r="AK35" s="1"/>
      <c r="AQ35" s="40"/>
      <c r="AU35" s="41"/>
      <c r="AV35" s="53" t="s">
        <v>17</v>
      </c>
      <c r="AW35" s="54">
        <f>IF(D7=AZ32,D34,D33)</f>
        <v>93.9</v>
      </c>
      <c r="AX35" s="35" t="s">
        <v>36</v>
      </c>
      <c r="BG35" s="35" t="str">
        <f>"Warning: Endgun system capacity is more than "&amp;AS39&amp;" "&amp;AT39&amp;" different to the pivot system capacity."</f>
        <v>Warning: Endgun system capacity is more than 10 % different to the pivot system capacity.</v>
      </c>
    </row>
    <row r="36" spans="1:71" ht="14.25" customHeight="1" x14ac:dyDescent="0.25">
      <c r="A36" s="37"/>
      <c r="B36" s="131" t="s">
        <v>393</v>
      </c>
      <c r="C36" s="137"/>
      <c r="D36" s="89" t="s">
        <v>394</v>
      </c>
      <c r="E36" s="92"/>
      <c r="AG36" s="4"/>
      <c r="AK36" s="1"/>
      <c r="AR36" s="53" t="s">
        <v>376</v>
      </c>
      <c r="AS36" s="157">
        <f>2.725/0.255</f>
        <v>10.686274509803921</v>
      </c>
      <c r="AT36" s="37" t="s">
        <v>377</v>
      </c>
      <c r="AU36" s="40"/>
      <c r="AV36" s="61" t="s">
        <v>373</v>
      </c>
      <c r="AW36" s="37">
        <f>D37</f>
        <v>100</v>
      </c>
      <c r="AX36" s="37" t="s">
        <v>36</v>
      </c>
      <c r="BC36" s="35" t="s">
        <v>42</v>
      </c>
    </row>
    <row r="37" spans="1:71" s="1" customFormat="1" ht="15.75" x14ac:dyDescent="0.25">
      <c r="B37" s="133" t="s">
        <v>4</v>
      </c>
      <c r="C37" s="138"/>
      <c r="D37" s="165">
        <f>VLOOKUP(D36,AZ43:BA45,2,FALSE)</f>
        <v>100</v>
      </c>
      <c r="E37" s="93" t="s">
        <v>36</v>
      </c>
      <c r="G37" s="127" t="s">
        <v>450</v>
      </c>
      <c r="H37" s="128"/>
      <c r="I37" s="128"/>
      <c r="J37" s="129"/>
      <c r="K37" s="35"/>
      <c r="L37" s="127" t="s">
        <v>15</v>
      </c>
      <c r="M37" s="128"/>
      <c r="N37" s="129"/>
      <c r="O37" s="37"/>
      <c r="P37" s="127" t="s">
        <v>337</v>
      </c>
      <c r="Q37" s="128" t="s">
        <v>338</v>
      </c>
      <c r="R37" s="128"/>
      <c r="S37" s="156" t="s">
        <v>339</v>
      </c>
      <c r="T37" s="134"/>
      <c r="U37" s="37"/>
      <c r="V37" s="127" t="s">
        <v>51</v>
      </c>
      <c r="W37" s="128"/>
      <c r="X37" s="129"/>
      <c r="AU37" s="35"/>
      <c r="AV37" s="61" t="s">
        <v>404</v>
      </c>
      <c r="AW37" s="258">
        <f>'Endgun models'!H4</f>
        <v>3.5708576743763856</v>
      </c>
      <c r="AX37" s="40" t="s">
        <v>407</v>
      </c>
      <c r="BC37" s="37" t="s">
        <v>63</v>
      </c>
      <c r="BE37" s="35"/>
      <c r="BJ37"/>
    </row>
    <row r="38" spans="1:71" s="37" customFormat="1" ht="14.25" customHeight="1" x14ac:dyDescent="0.25">
      <c r="B38" s="1"/>
      <c r="C38" s="1"/>
      <c r="D38" s="1"/>
      <c r="E38" s="1"/>
      <c r="F38" s="1"/>
      <c r="G38" s="124"/>
      <c r="H38" s="232"/>
      <c r="I38" s="232" t="str">
        <f>AY57</f>
        <v>Potential savings</v>
      </c>
      <c r="J38" s="126"/>
      <c r="K38" s="35"/>
      <c r="L38" s="124" t="s">
        <v>341</v>
      </c>
      <c r="M38" s="335">
        <f>ROUND(AW24/100,2)</f>
        <v>0.7</v>
      </c>
      <c r="N38" s="178" t="str">
        <f>VLOOKUP(M38,AR42:AS45,2,TRUE)</f>
        <v>Good</v>
      </c>
      <c r="P38" s="124" t="s">
        <v>341</v>
      </c>
      <c r="Q38" s="229">
        <f>AR9/VLOOKUP(R38,AZ27:BA30,2,FALSE)</f>
        <v>5.1259969192164014</v>
      </c>
      <c r="R38" s="74" t="s">
        <v>35</v>
      </c>
      <c r="S38" s="231">
        <f>AR10/VLOOKUP(T38,AZ27:BA30,2,FALSE)</f>
        <v>9.0487442235307487</v>
      </c>
      <c r="T38" s="152" t="s">
        <v>35</v>
      </c>
      <c r="V38" s="124" t="s">
        <v>341</v>
      </c>
      <c r="W38" s="229">
        <f>AP13/VLOOKUP(X38,AZ27:BA30,2,FALSE)</f>
        <v>14.999999999999998</v>
      </c>
      <c r="X38" s="152" t="s">
        <v>12</v>
      </c>
      <c r="AK38" s="1"/>
      <c r="AQ38" s="35"/>
      <c r="AR38" s="41"/>
      <c r="AS38" s="41"/>
      <c r="AT38" s="41"/>
      <c r="AU38" s="1"/>
      <c r="AV38" s="1"/>
      <c r="AW38" s="260"/>
      <c r="AX38" s="1"/>
      <c r="AY38" s="35"/>
      <c r="BC38" s="37" t="s">
        <v>312</v>
      </c>
      <c r="BF38" s="35"/>
      <c r="BG38" s="35" t="s">
        <v>447</v>
      </c>
      <c r="BH38" s="35"/>
      <c r="BI38" s="35"/>
      <c r="BJ38"/>
      <c r="BK38" s="35"/>
      <c r="BL38" s="35"/>
      <c r="BM38" s="35"/>
      <c r="BN38" s="35"/>
      <c r="BO38" s="35"/>
      <c r="BP38" s="35"/>
      <c r="BQ38" s="35"/>
      <c r="BR38" s="35"/>
      <c r="BS38" s="35"/>
    </row>
    <row r="39" spans="1:71" s="37" customFormat="1" ht="14.25" customHeight="1" x14ac:dyDescent="0.25">
      <c r="B39" s="35"/>
      <c r="C39" s="35"/>
      <c r="D39" s="36"/>
      <c r="E39" s="35"/>
      <c r="F39" s="1"/>
      <c r="G39" s="124" t="str">
        <f>AU59</f>
        <v>Drive efficiency</v>
      </c>
      <c r="H39" s="232"/>
      <c r="I39" s="187">
        <f>AY59</f>
        <v>0</v>
      </c>
      <c r="J39" s="126" t="str">
        <f>AZ59</f>
        <v>/year</v>
      </c>
      <c r="L39" s="124" t="s">
        <v>342</v>
      </c>
      <c r="M39" s="155">
        <v>80</v>
      </c>
      <c r="N39" s="339"/>
      <c r="P39" s="124" t="s">
        <v>342</v>
      </c>
      <c r="Q39" s="231">
        <f>AW31/VLOOKUP(R39,AZ27:BA30,2,FALSE)</f>
        <v>3.97092</v>
      </c>
      <c r="R39" s="74" t="s">
        <v>35</v>
      </c>
      <c r="S39" s="231">
        <f>AW32/VLOOKUP(T39,AZ27:BA30,2,FALSE)</f>
        <v>5.8552831748218859</v>
      </c>
      <c r="T39" s="152" t="s">
        <v>35</v>
      </c>
      <c r="V39" s="124" t="s">
        <v>342</v>
      </c>
      <c r="W39" s="231">
        <f>BB11/VLOOKUP(X39,AZ27:BA30,2,FALSE)</f>
        <v>14.999999999999998</v>
      </c>
      <c r="X39" s="152" t="s">
        <v>12</v>
      </c>
      <c r="AQ39" s="35"/>
      <c r="AR39" s="61" t="s">
        <v>425</v>
      </c>
      <c r="AS39" s="147">
        <v>10</v>
      </c>
      <c r="AT39" s="41" t="s">
        <v>36</v>
      </c>
      <c r="AU39" s="35"/>
      <c r="AV39" s="61" t="s">
        <v>408</v>
      </c>
      <c r="AW39" s="55">
        <f>IF(E26="no booster",0,(AW37*AS25*BA27)/(0.0102*AS27*AS26))</f>
        <v>0</v>
      </c>
      <c r="AX39" s="40" t="s">
        <v>363</v>
      </c>
      <c r="AY39" s="35"/>
      <c r="AZ39" s="35"/>
      <c r="BA39" s="35"/>
      <c r="BC39" s="37" t="s">
        <v>314</v>
      </c>
      <c r="BF39" s="35"/>
      <c r="BG39" s="35"/>
      <c r="BH39" s="35"/>
      <c r="BI39" s="35"/>
      <c r="BJ39"/>
      <c r="BK39" s="35"/>
      <c r="BL39" s="35"/>
      <c r="BM39" s="35"/>
      <c r="BN39" s="35"/>
      <c r="BO39" s="35"/>
      <c r="BP39" s="35"/>
      <c r="BQ39" s="35"/>
      <c r="BR39" s="35"/>
      <c r="BS39" s="35"/>
    </row>
    <row r="40" spans="1:71" s="37" customFormat="1" ht="14.25" customHeight="1" x14ac:dyDescent="0.25">
      <c r="F40" s="1"/>
      <c r="G40" s="125" t="str">
        <f>AU60</f>
        <v>Motor efficiency</v>
      </c>
      <c r="H40" s="228"/>
      <c r="I40" s="188">
        <f>AY60</f>
        <v>8.2750000000000004</v>
      </c>
      <c r="J40" s="179" t="str">
        <f>AZ60</f>
        <v>/year</v>
      </c>
      <c r="L40" s="125" t="s">
        <v>343</v>
      </c>
      <c r="M40" s="189">
        <f>BG12</f>
        <v>1014.269</v>
      </c>
      <c r="N40" s="179" t="s">
        <v>340</v>
      </c>
      <c r="P40" s="125" t="s">
        <v>343</v>
      </c>
      <c r="Q40" s="188">
        <f>BG9</f>
        <v>324.53899999999999</v>
      </c>
      <c r="R40" s="169" t="s">
        <v>340</v>
      </c>
      <c r="S40" s="188">
        <f>BG10</f>
        <v>897.25900000000001</v>
      </c>
      <c r="T40" s="179" t="s">
        <v>340</v>
      </c>
      <c r="V40" s="125" t="str">
        <f>IF(W40&lt;0,AZ41,AZ40)</f>
        <v>Savings</v>
      </c>
      <c r="W40" s="188">
        <f>BG11</f>
        <v>0</v>
      </c>
      <c r="X40" s="179" t="s">
        <v>340</v>
      </c>
      <c r="Y40" s="40"/>
      <c r="Z40" s="40"/>
      <c r="AC40" s="40"/>
      <c r="AD40" s="40"/>
      <c r="AE40" s="40"/>
      <c r="AQ40" s="35"/>
      <c r="AT40" s="35"/>
      <c r="AU40" s="35"/>
      <c r="AV40" s="61" t="s">
        <v>431</v>
      </c>
      <c r="AW40" s="1">
        <f>ROUND(D25/48,0)</f>
        <v>8</v>
      </c>
      <c r="AX40" s="40" t="s">
        <v>432</v>
      </c>
      <c r="AZ40" s="1" t="s">
        <v>457</v>
      </c>
      <c r="BC40" s="37" t="s">
        <v>76</v>
      </c>
      <c r="BF40" s="35"/>
      <c r="BG40" s="35" t="s">
        <v>459</v>
      </c>
      <c r="BH40" s="35"/>
      <c r="BI40" s="35"/>
      <c r="BJ40"/>
      <c r="BK40" s="35"/>
      <c r="BL40" s="35"/>
      <c r="BM40" s="35"/>
      <c r="BN40" s="35"/>
      <c r="BO40" s="35"/>
      <c r="BP40" s="35"/>
      <c r="BQ40" s="35"/>
      <c r="BR40" s="35"/>
      <c r="BS40" s="35"/>
    </row>
    <row r="41" spans="1:71" s="37" customFormat="1" ht="14.25" customHeight="1" x14ac:dyDescent="0.25">
      <c r="F41" s="1"/>
      <c r="G41" s="1"/>
      <c r="H41" s="1"/>
      <c r="L41" s="40"/>
      <c r="M41" s="40"/>
      <c r="N41" s="40"/>
      <c r="O41" s="40"/>
      <c r="P41" s="40"/>
      <c r="Q41" s="40"/>
      <c r="R41" s="40"/>
      <c r="S41" s="40"/>
      <c r="T41" s="40"/>
      <c r="U41" s="40"/>
      <c r="V41" s="40"/>
      <c r="W41" s="40"/>
      <c r="X41" s="40"/>
      <c r="Y41" s="40"/>
      <c r="Z41" s="40"/>
      <c r="AA41" s="40"/>
      <c r="AB41" s="40"/>
      <c r="AC41" s="40"/>
      <c r="AD41" s="40"/>
      <c r="AE41" s="40"/>
      <c r="AP41" s="35"/>
      <c r="AR41" s="53" t="s">
        <v>416</v>
      </c>
      <c r="AS41" s="41"/>
      <c r="AT41" s="35"/>
      <c r="AU41" s="35"/>
      <c r="AV41" s="249" t="s">
        <v>411</v>
      </c>
      <c r="AW41" s="250">
        <f>IF(AND(D28=BB23,D7=AZ33),(0.5*AW40+0.5)*(AS32/AS33)*AS34,0)</f>
        <v>1.125</v>
      </c>
      <c r="AX41" s="251" t="s">
        <v>363</v>
      </c>
      <c r="AZ41" s="1" t="s">
        <v>458</v>
      </c>
      <c r="BC41" s="37" t="s">
        <v>77</v>
      </c>
      <c r="BF41" s="35"/>
      <c r="BG41" s="35"/>
      <c r="BH41" s="35"/>
      <c r="BI41" s="35"/>
      <c r="BJ41"/>
      <c r="BK41" s="35"/>
      <c r="BL41" s="35"/>
      <c r="BM41" s="35"/>
      <c r="BN41" s="35"/>
      <c r="BO41" s="35"/>
      <c r="BP41" s="35"/>
      <c r="BQ41" s="35"/>
      <c r="BR41" s="35"/>
      <c r="BS41" s="35"/>
    </row>
    <row r="42" spans="1:71" s="37" customFormat="1" ht="18" customHeight="1" x14ac:dyDescent="0.25">
      <c r="B42" s="40"/>
      <c r="C42" s="40"/>
      <c r="D42" s="36"/>
      <c r="E42" s="35"/>
      <c r="F42" s="1"/>
      <c r="G42" s="1"/>
      <c r="H42" s="1"/>
      <c r="L42" s="40"/>
      <c r="M42" s="40"/>
      <c r="N42" s="40"/>
      <c r="O42" s="40"/>
      <c r="P42" s="40"/>
      <c r="Q42" s="40"/>
      <c r="R42" s="40"/>
      <c r="S42" s="40"/>
      <c r="T42" s="40"/>
      <c r="U42" s="40"/>
      <c r="V42" s="40"/>
      <c r="W42" s="40"/>
      <c r="X42" s="40"/>
      <c r="Y42" s="40"/>
      <c r="Z42" s="40"/>
      <c r="AA42" s="40"/>
      <c r="AB42" s="40"/>
      <c r="AC42" s="40"/>
      <c r="AD42" s="40"/>
      <c r="AE42" s="40"/>
      <c r="AP42" s="35"/>
      <c r="AR42" s="159">
        <v>0</v>
      </c>
      <c r="AS42" s="41" t="s">
        <v>400</v>
      </c>
      <c r="AT42" s="35"/>
      <c r="AV42" s="61" t="s">
        <v>428</v>
      </c>
      <c r="AW42" s="256">
        <f>R31+(R31*AS39/100)</f>
        <v>16.729198467064275</v>
      </c>
      <c r="AX42" s="40" t="s">
        <v>41</v>
      </c>
      <c r="BC42" s="37" t="s">
        <v>78</v>
      </c>
      <c r="BF42" s="35"/>
      <c r="BH42" s="35"/>
      <c r="BI42" s="35"/>
      <c r="BJ42"/>
      <c r="BK42" s="35"/>
      <c r="BL42" s="35"/>
      <c r="BM42" s="35"/>
      <c r="BN42" s="35"/>
      <c r="BO42" s="35"/>
      <c r="BP42" s="35"/>
      <c r="BQ42" s="35"/>
      <c r="BR42" s="35"/>
      <c r="BS42" s="35"/>
    </row>
    <row r="43" spans="1:71" s="37" customFormat="1" ht="18.75" x14ac:dyDescent="0.3">
      <c r="B43" s="50"/>
      <c r="C43" s="50"/>
      <c r="D43" s="36"/>
      <c r="E43" s="35"/>
      <c r="F43" s="1"/>
      <c r="G43" s="148"/>
      <c r="H43" s="149"/>
      <c r="I43" s="149"/>
      <c r="J43" s="149"/>
      <c r="K43" s="149"/>
      <c r="L43" s="149"/>
      <c r="M43" s="149"/>
      <c r="N43" s="149"/>
      <c r="O43" s="150" t="s">
        <v>461</v>
      </c>
      <c r="P43" s="382">
        <f>SUM(M40,Q40,S40,W40,I39:I40)</f>
        <v>2244.3420000000001</v>
      </c>
      <c r="Q43" s="382"/>
      <c r="R43" s="149" t="s">
        <v>340</v>
      </c>
      <c r="S43" s="149"/>
      <c r="T43" s="149"/>
      <c r="U43" s="149"/>
      <c r="V43" s="149"/>
      <c r="W43" s="149"/>
      <c r="X43" s="151"/>
      <c r="Y43" s="1"/>
      <c r="AC43" s="40"/>
      <c r="AD43" s="40"/>
      <c r="AE43" s="40"/>
      <c r="AM43" s="35"/>
      <c r="AN43" s="35"/>
      <c r="AO43" s="35"/>
      <c r="AP43" s="35"/>
      <c r="AR43" s="160">
        <v>0.7</v>
      </c>
      <c r="AS43" s="41" t="s">
        <v>401</v>
      </c>
      <c r="AT43" s="35"/>
      <c r="AV43" s="61" t="s">
        <v>427</v>
      </c>
      <c r="AW43" s="256">
        <f>R31-(R31*AS39/100)</f>
        <v>13.687526018507135</v>
      </c>
      <c r="AX43" s="40" t="s">
        <v>41</v>
      </c>
      <c r="AZ43" s="67" t="s">
        <v>394</v>
      </c>
      <c r="BA43" s="95">
        <v>100</v>
      </c>
      <c r="BC43" s="37" t="s">
        <v>79</v>
      </c>
      <c r="BF43" s="35"/>
      <c r="BG43" s="35"/>
      <c r="BH43" s="35"/>
      <c r="BI43" s="35"/>
      <c r="BJ43"/>
      <c r="BK43" s="35"/>
      <c r="BL43" s="35"/>
      <c r="BM43" s="35"/>
      <c r="BN43" s="35"/>
      <c r="BO43" s="35"/>
      <c r="BP43" s="35"/>
      <c r="BQ43" s="35"/>
      <c r="BR43" s="35"/>
      <c r="BS43" s="35"/>
    </row>
    <row r="44" spans="1:71" s="37" customFormat="1" x14ac:dyDescent="0.25">
      <c r="F44" s="1"/>
      <c r="Y44" s="40"/>
      <c r="Z44" s="40"/>
      <c r="AA44" s="40"/>
      <c r="AB44" s="40"/>
      <c r="AC44" s="40"/>
      <c r="AD44" s="40"/>
      <c r="AE44" s="40"/>
      <c r="AM44" s="35"/>
      <c r="AN44" s="35"/>
      <c r="AO44" s="35"/>
      <c r="AP44" s="35"/>
      <c r="AQ44" s="35"/>
      <c r="AR44" s="160">
        <v>0.8</v>
      </c>
      <c r="AS44" s="41" t="s">
        <v>402</v>
      </c>
      <c r="AV44" s="61" t="s">
        <v>438</v>
      </c>
      <c r="AW44" s="257">
        <f>'Endgun models'!M5</f>
        <v>15</v>
      </c>
      <c r="AX44" s="40" t="s">
        <v>12</v>
      </c>
      <c r="AZ44" s="67" t="s">
        <v>395</v>
      </c>
      <c r="BA44" s="95">
        <v>95</v>
      </c>
      <c r="BC44" s="37" t="s">
        <v>80</v>
      </c>
      <c r="BF44" s="35"/>
      <c r="BH44" s="35"/>
      <c r="BI44" s="35"/>
      <c r="BJ44"/>
      <c r="BK44" s="35"/>
      <c r="BL44" s="35"/>
      <c r="BM44" s="35"/>
      <c r="BN44" s="35"/>
      <c r="BO44" s="35"/>
      <c r="BP44" s="35"/>
      <c r="BQ44" s="35"/>
      <c r="BR44" s="35"/>
      <c r="BS44" s="35"/>
    </row>
    <row r="45" spans="1:71" s="37" customFormat="1" x14ac:dyDescent="0.25">
      <c r="F45" s="1"/>
      <c r="Y45" s="40"/>
      <c r="Z45" s="40"/>
      <c r="AA45" s="40"/>
      <c r="AB45" s="40"/>
      <c r="AQ45" s="35"/>
      <c r="AR45" s="160">
        <v>1</v>
      </c>
      <c r="AS45" s="41" t="s">
        <v>403</v>
      </c>
      <c r="AV45" s="61" t="s">
        <v>439</v>
      </c>
      <c r="AW45" s="35">
        <f>'Endgun models'!M8</f>
        <v>30</v>
      </c>
      <c r="AX45" s="40" t="s">
        <v>12</v>
      </c>
      <c r="AZ45" s="67" t="s">
        <v>396</v>
      </c>
      <c r="BA45" s="95">
        <v>90</v>
      </c>
      <c r="BC45" s="40" t="s">
        <v>81</v>
      </c>
      <c r="BF45" s="35"/>
      <c r="BH45" s="35"/>
      <c r="BI45" s="35"/>
      <c r="BJ45"/>
      <c r="BK45" s="35"/>
      <c r="BL45" s="35"/>
      <c r="BM45" s="35"/>
      <c r="BN45" s="35"/>
      <c r="BO45" s="35"/>
      <c r="BP45" s="35"/>
      <c r="BQ45" s="35"/>
      <c r="BR45" s="35"/>
      <c r="BS45" s="35"/>
    </row>
    <row r="46" spans="1:71" s="37" customFormat="1" x14ac:dyDescent="0.25">
      <c r="F46" s="1"/>
      <c r="AQ46" s="35"/>
      <c r="AR46" s="37" t="s">
        <v>392</v>
      </c>
      <c r="AV46" s="61" t="s">
        <v>438</v>
      </c>
      <c r="AW46" s="35">
        <f>VLOOKUP(AX46,AZ$27:BA$30,2,FALSE)*AW44/BA27</f>
        <v>14.999999999999998</v>
      </c>
      <c r="AX46" s="40" t="str">
        <f>T7</f>
        <v>PSI</v>
      </c>
      <c r="BC46" s="40" t="s">
        <v>82</v>
      </c>
      <c r="BF46" s="35"/>
      <c r="BG46" s="35"/>
      <c r="BH46" s="35"/>
      <c r="BI46" s="35"/>
      <c r="BJ46"/>
      <c r="BK46" s="35"/>
      <c r="BL46" s="35"/>
      <c r="BM46" s="35"/>
      <c r="BN46" s="35"/>
      <c r="BO46" s="35"/>
      <c r="BP46" s="35"/>
      <c r="BQ46" s="35"/>
      <c r="BR46" s="35"/>
      <c r="BS46" s="35"/>
    </row>
    <row r="47" spans="1:71" s="37" customFormat="1" x14ac:dyDescent="0.25">
      <c r="A47" s="35"/>
      <c r="F47" s="1"/>
      <c r="G47" s="1"/>
      <c r="H47" s="1"/>
      <c r="M47" s="2"/>
      <c r="AQ47" s="35"/>
      <c r="AR47" s="181">
        <v>0</v>
      </c>
      <c r="AS47" s="40" t="s">
        <v>400</v>
      </c>
      <c r="AV47" s="61" t="s">
        <v>439</v>
      </c>
      <c r="AW47" s="35">
        <f>VLOOKUP(AX47,AZ$27:BA$30,2,FALSE)*AW45/BA27</f>
        <v>29.999999999999996</v>
      </c>
      <c r="AX47" s="40" t="str">
        <f>T7</f>
        <v>PSI</v>
      </c>
      <c r="BC47" s="1"/>
      <c r="BF47" s="35"/>
      <c r="BG47" s="35"/>
      <c r="BH47" s="35"/>
      <c r="BI47" s="35"/>
      <c r="BJ47"/>
      <c r="BK47" s="35"/>
      <c r="BL47" s="35"/>
      <c r="BM47" s="35"/>
      <c r="BN47" s="35"/>
      <c r="BO47" s="35"/>
      <c r="BP47" s="35"/>
      <c r="BQ47" s="35"/>
      <c r="BR47" s="35"/>
      <c r="BS47" s="35"/>
    </row>
    <row r="48" spans="1:71" s="37" customFormat="1" x14ac:dyDescent="0.25">
      <c r="A48" s="35"/>
      <c r="B48" s="39"/>
      <c r="C48" s="39"/>
      <c r="D48" s="39"/>
      <c r="E48" s="39"/>
      <c r="F48" s="1"/>
      <c r="G48" s="1"/>
      <c r="H48" s="1"/>
      <c r="M48" s="2"/>
      <c r="AR48" s="181">
        <v>50</v>
      </c>
      <c r="AS48" s="40" t="s">
        <v>401</v>
      </c>
      <c r="AT48" s="40"/>
      <c r="AV48" s="61" t="s">
        <v>443</v>
      </c>
      <c r="AW48" s="37" t="b">
        <f>'Endgun models'!M11</f>
        <v>1</v>
      </c>
      <c r="BC48" s="41" t="s">
        <v>291</v>
      </c>
      <c r="BF48" s="35"/>
      <c r="BG48" s="35"/>
      <c r="BH48" s="35"/>
      <c r="BI48" s="41"/>
      <c r="BJ48"/>
      <c r="BK48" s="35"/>
      <c r="BL48" s="35"/>
      <c r="BM48" s="35"/>
      <c r="BN48" s="35"/>
      <c r="BO48" s="35"/>
      <c r="BP48" s="35"/>
      <c r="BQ48" s="35"/>
      <c r="BR48" s="35"/>
      <c r="BS48" s="35"/>
    </row>
    <row r="49" spans="1:76" s="40" customFormat="1" x14ac:dyDescent="0.25">
      <c r="A49" s="41"/>
      <c r="B49" s="2"/>
      <c r="C49" s="2"/>
      <c r="D49" s="76"/>
      <c r="E49" s="35"/>
      <c r="F49" s="1"/>
      <c r="G49" s="1"/>
      <c r="H49" s="1"/>
      <c r="I49" s="35"/>
      <c r="J49" s="35"/>
      <c r="K49" s="35"/>
      <c r="L49" s="35"/>
      <c r="M49" s="35"/>
      <c r="N49" s="35"/>
      <c r="O49" s="37"/>
      <c r="P49" s="37"/>
      <c r="AH49" s="77"/>
      <c r="AI49" s="78"/>
      <c r="AJ49" s="79"/>
      <c r="AK49" s="78"/>
      <c r="AL49" s="78"/>
      <c r="AR49" s="181">
        <v>100</v>
      </c>
      <c r="AS49" s="40" t="s">
        <v>403</v>
      </c>
      <c r="AU49" s="37"/>
      <c r="AV49" s="61" t="s">
        <v>446</v>
      </c>
      <c r="AW49" s="37" t="b">
        <f>OR(IF(NOT(OR(R31-R31*AS39/100&gt;R32,R32&gt;R31+R31*AS39/100)),TRUE,FALSE),D26=BC37)</f>
        <v>0</v>
      </c>
      <c r="AX49" s="37"/>
      <c r="BC49" s="35" t="s">
        <v>292</v>
      </c>
      <c r="BD49" s="37"/>
      <c r="BF49" s="35"/>
      <c r="BG49" s="35"/>
      <c r="BH49" s="35"/>
      <c r="BI49" s="41"/>
      <c r="BJ49"/>
      <c r="BK49" s="41"/>
      <c r="BL49" s="41"/>
      <c r="BM49" s="41"/>
      <c r="BN49" s="41"/>
      <c r="BO49" s="41"/>
      <c r="BP49" s="41"/>
      <c r="BQ49" s="41"/>
      <c r="BR49" s="41"/>
      <c r="BS49" s="41"/>
      <c r="BT49" s="41"/>
      <c r="BU49" s="41"/>
      <c r="BV49" s="41"/>
      <c r="BW49" s="41"/>
      <c r="BX49" s="41"/>
    </row>
    <row r="50" spans="1:76" s="40" customFormat="1" x14ac:dyDescent="0.25">
      <c r="A50" s="82"/>
      <c r="B50" s="35"/>
      <c r="C50" s="35"/>
      <c r="D50" s="76"/>
      <c r="E50" s="35"/>
      <c r="F50" s="1"/>
      <c r="G50" s="1"/>
      <c r="H50" s="1"/>
      <c r="I50" s="41"/>
      <c r="J50" s="41"/>
      <c r="K50" s="41"/>
      <c r="L50" s="41"/>
      <c r="M50" s="41"/>
      <c r="N50" s="41"/>
      <c r="AC50" s="77"/>
      <c r="AD50" s="381" t="s">
        <v>253</v>
      </c>
      <c r="AE50" s="381"/>
      <c r="AF50" s="77"/>
      <c r="AG50" s="77"/>
      <c r="AH50" s="115"/>
      <c r="AR50" s="41" t="s">
        <v>440</v>
      </c>
      <c r="AS50" s="41"/>
      <c r="AT50" s="41"/>
      <c r="AU50" s="37"/>
      <c r="AV50" s="61" t="s">
        <v>442</v>
      </c>
      <c r="AW50" s="37" t="b">
        <f>IF((AR9+AR9*AR51)&gt;BB9,TRUE,FALSE)</f>
        <v>1</v>
      </c>
      <c r="AX50" s="37"/>
      <c r="BC50" s="35" t="s">
        <v>304</v>
      </c>
      <c r="BD50" s="37"/>
      <c r="BE50" s="41"/>
      <c r="BF50" s="41"/>
      <c r="BG50" s="41"/>
      <c r="BH50" s="41"/>
      <c r="BI50" s="41"/>
      <c r="BJ50"/>
      <c r="BK50" s="41"/>
      <c r="BL50" s="41"/>
      <c r="BO50" s="41"/>
      <c r="BP50" s="41"/>
      <c r="BQ50" s="41"/>
      <c r="BR50" s="41"/>
      <c r="BS50" s="41"/>
      <c r="BT50" s="41"/>
      <c r="BU50" s="41"/>
      <c r="BV50" s="41"/>
      <c r="BW50" s="41"/>
      <c r="BX50" s="41"/>
    </row>
    <row r="51" spans="1:76" s="41" customFormat="1" x14ac:dyDescent="0.25">
      <c r="A51" s="82"/>
      <c r="B51" s="35"/>
      <c r="C51" s="35"/>
      <c r="D51" s="36"/>
      <c r="E51" s="35"/>
      <c r="F51" s="1"/>
      <c r="G51" s="1"/>
      <c r="H51" s="1"/>
      <c r="I51" s="77"/>
      <c r="J51" s="77"/>
      <c r="K51" s="77"/>
      <c r="L51" s="77"/>
      <c r="M51" s="77"/>
      <c r="N51" s="77"/>
      <c r="O51" s="234"/>
      <c r="P51" s="234"/>
      <c r="Q51" s="77"/>
      <c r="R51" s="77"/>
      <c r="S51" s="83"/>
      <c r="T51" s="83"/>
      <c r="U51" s="83"/>
      <c r="V51" s="83"/>
      <c r="W51" s="83"/>
      <c r="X51" s="116" t="str">
        <f>IF(W$38&gt;0,Solutions!A37,Solutions!A24)</f>
        <v>Excessive pressure at end of pivot – this will increase pumping costs.</v>
      </c>
      <c r="Y51" s="77"/>
      <c r="Z51" s="77"/>
      <c r="AA51" s="77"/>
      <c r="AB51" s="77"/>
      <c r="AE51" s="115"/>
      <c r="AF51" s="115"/>
      <c r="AG51" s="115"/>
      <c r="AH51" s="115"/>
      <c r="AI51" s="40"/>
      <c r="AJ51" s="40"/>
      <c r="AK51" s="40"/>
      <c r="AL51" s="40"/>
      <c r="AR51" s="159">
        <v>0.1</v>
      </c>
      <c r="AS51" s="41" t="s">
        <v>441</v>
      </c>
      <c r="AU51" s="40"/>
      <c r="AV51" s="61" t="s">
        <v>452</v>
      </c>
      <c r="AW51" s="37" t="b">
        <f>IF(AR9&lt;0,TRUE,FALSE)</f>
        <v>0</v>
      </c>
      <c r="AX51" s="37"/>
      <c r="BC51" s="35" t="s">
        <v>305</v>
      </c>
      <c r="BD51" s="40"/>
      <c r="BF51" s="40"/>
      <c r="BI51" s="40"/>
      <c r="BJ51"/>
      <c r="BK51" s="40"/>
      <c r="BL51" s="40"/>
      <c r="BM51" s="40"/>
      <c r="BN51" s="40"/>
      <c r="BS51" s="40"/>
      <c r="BT51" s="40"/>
      <c r="BU51" s="40"/>
    </row>
    <row r="52" spans="1:76" s="41" customFormat="1" x14ac:dyDescent="0.25">
      <c r="A52" s="82"/>
      <c r="B52" s="35"/>
      <c r="C52" s="35"/>
      <c r="D52" s="36"/>
      <c r="E52" s="35"/>
      <c r="AE52" s="115"/>
      <c r="AF52" s="115"/>
      <c r="AG52" s="115"/>
      <c r="AH52" s="115"/>
      <c r="AI52" s="117"/>
      <c r="AJ52" s="40"/>
      <c r="AK52" s="40"/>
      <c r="AL52" s="40"/>
      <c r="AV52" s="61" t="s">
        <v>453</v>
      </c>
      <c r="AW52" s="40" t="b">
        <f>IF(AR10&lt;0,TRUE,FALSE)</f>
        <v>0</v>
      </c>
      <c r="AX52" s="40"/>
      <c r="BC52" s="35" t="s">
        <v>306</v>
      </c>
      <c r="BD52" s="40"/>
      <c r="BF52" s="40"/>
      <c r="BI52" s="40"/>
      <c r="BJ52"/>
      <c r="BK52" s="40"/>
      <c r="BL52" s="40"/>
      <c r="BM52" s="40"/>
      <c r="BN52" s="40"/>
      <c r="BS52" s="40"/>
      <c r="BT52" s="40"/>
      <c r="BU52" s="40"/>
    </row>
    <row r="53" spans="1:76" s="41" customFormat="1" x14ac:dyDescent="0.25">
      <c r="A53" s="82"/>
      <c r="B53" s="234" t="s">
        <v>274</v>
      </c>
      <c r="C53" s="234"/>
      <c r="D53" s="114"/>
      <c r="E53" s="77"/>
      <c r="AE53" s="115"/>
      <c r="AF53" s="115"/>
      <c r="AG53" s="115"/>
      <c r="AH53" s="115"/>
      <c r="AI53" s="117"/>
      <c r="AJ53" s="40"/>
      <c r="AK53" s="40"/>
      <c r="AL53" s="40"/>
      <c r="BC53" s="35"/>
      <c r="BD53" s="40"/>
      <c r="BF53" s="40"/>
      <c r="BI53" s="40"/>
      <c r="BJ53"/>
      <c r="BK53" s="40"/>
      <c r="BL53" s="40"/>
      <c r="BM53" s="40"/>
      <c r="BN53" s="40"/>
      <c r="BS53" s="40"/>
      <c r="BT53" s="40"/>
      <c r="BU53" s="40"/>
    </row>
    <row r="54" spans="1:76" s="41" customFormat="1" x14ac:dyDescent="0.25">
      <c r="A54" s="82"/>
      <c r="B54" s="253"/>
      <c r="C54" s="253"/>
      <c r="D54" s="114"/>
      <c r="E54" s="77"/>
      <c r="AE54" s="115"/>
      <c r="AF54" s="115"/>
      <c r="AG54" s="115"/>
      <c r="AH54" s="115"/>
      <c r="AI54" s="117"/>
      <c r="AJ54" s="40"/>
      <c r="AK54" s="40"/>
      <c r="AL54" s="40"/>
      <c r="BC54" s="35"/>
      <c r="BD54" s="40"/>
      <c r="BF54" s="40"/>
      <c r="BI54" s="40"/>
      <c r="BJ54"/>
      <c r="BK54" s="40"/>
      <c r="BL54" s="40"/>
      <c r="BM54" s="40"/>
      <c r="BN54" s="40"/>
      <c r="BS54" s="40"/>
      <c r="BT54" s="40"/>
      <c r="BU54" s="40"/>
    </row>
    <row r="55" spans="1:76" s="41" customFormat="1" x14ac:dyDescent="0.25">
      <c r="A55" s="82"/>
      <c r="B55" s="253"/>
      <c r="C55" s="253"/>
      <c r="D55" s="114"/>
      <c r="E55" s="77"/>
      <c r="AE55" s="115"/>
      <c r="AF55" s="115"/>
      <c r="AG55" s="115"/>
      <c r="AH55" s="115"/>
      <c r="AI55" s="117"/>
      <c r="AJ55" s="40"/>
      <c r="AK55" s="40"/>
      <c r="AL55" s="40"/>
      <c r="BC55" s="35"/>
      <c r="BD55" s="40"/>
      <c r="BF55" s="40"/>
      <c r="BI55" s="40"/>
      <c r="BJ55"/>
      <c r="BK55" s="40"/>
      <c r="BL55" s="40"/>
      <c r="BM55" s="40"/>
      <c r="BN55" s="40"/>
      <c r="BS55" s="40"/>
      <c r="BT55" s="40"/>
      <c r="BU55" s="40"/>
    </row>
    <row r="56" spans="1:76" s="41" customFormat="1" ht="15.75" x14ac:dyDescent="0.25">
      <c r="A56" s="82"/>
      <c r="B56" s="253"/>
      <c r="C56" s="253"/>
      <c r="D56" s="114"/>
      <c r="E56" s="77"/>
      <c r="AE56" s="115"/>
      <c r="AF56" s="115"/>
      <c r="AG56" s="115"/>
      <c r="AH56" s="115"/>
      <c r="AI56" s="40"/>
      <c r="AJ56" s="40"/>
      <c r="AK56" s="40"/>
      <c r="AL56" s="40"/>
      <c r="AU56" s="127" t="s">
        <v>370</v>
      </c>
      <c r="AV56" s="128"/>
      <c r="AW56" s="128"/>
      <c r="AX56" s="128"/>
      <c r="AY56" s="128"/>
      <c r="AZ56" s="129"/>
      <c r="BC56" s="37" t="s">
        <v>307</v>
      </c>
      <c r="BE56" s="40"/>
      <c r="BF56" s="40"/>
      <c r="BG56" s="40"/>
      <c r="BH56" s="40"/>
      <c r="BI56" s="40"/>
      <c r="BJ56"/>
      <c r="BK56" s="40"/>
      <c r="BL56" s="40"/>
      <c r="BM56" s="40"/>
      <c r="BN56" s="40"/>
      <c r="BO56" s="40"/>
      <c r="BP56" s="40"/>
      <c r="BQ56" s="40"/>
      <c r="BR56" s="40"/>
      <c r="BS56" s="40"/>
      <c r="BT56" s="40"/>
      <c r="BU56" s="40"/>
      <c r="BV56" s="40"/>
      <c r="BW56" s="40"/>
      <c r="BX56" s="40"/>
    </row>
    <row r="57" spans="1:76" s="41" customFormat="1" x14ac:dyDescent="0.25">
      <c r="A57" s="82"/>
      <c r="AE57" s="115"/>
      <c r="AF57" s="115"/>
      <c r="AG57" s="115"/>
      <c r="AH57" s="115"/>
      <c r="AI57" s="40"/>
      <c r="AJ57" s="40"/>
      <c r="AK57" s="40"/>
      <c r="AU57" s="124"/>
      <c r="AV57" s="232" t="s">
        <v>341</v>
      </c>
      <c r="AW57" s="232" t="s">
        <v>371</v>
      </c>
      <c r="AX57" s="232" t="s">
        <v>372</v>
      </c>
      <c r="AY57" s="232" t="s">
        <v>426</v>
      </c>
      <c r="AZ57" s="126"/>
      <c r="BC57" s="37" t="s">
        <v>308</v>
      </c>
      <c r="BE57" s="40"/>
      <c r="BF57" s="40"/>
      <c r="BG57" s="40"/>
      <c r="BH57" s="40"/>
      <c r="BI57" s="40"/>
      <c r="BJ57"/>
      <c r="BK57" s="40"/>
      <c r="BL57" s="40"/>
      <c r="BM57" s="40"/>
      <c r="BN57" s="40"/>
      <c r="BO57" s="40"/>
      <c r="BP57" s="40"/>
      <c r="BQ57" s="40"/>
      <c r="BR57" s="40"/>
      <c r="BS57" s="40"/>
      <c r="BT57" s="40"/>
      <c r="BU57" s="40"/>
      <c r="BV57" s="40"/>
      <c r="BW57" s="40"/>
      <c r="BX57" s="40"/>
    </row>
    <row r="58" spans="1:76" s="41" customFormat="1" x14ac:dyDescent="0.25">
      <c r="A58" s="82"/>
      <c r="AE58" s="115"/>
      <c r="AF58" s="115"/>
      <c r="AG58" s="115"/>
      <c r="AH58" s="115"/>
      <c r="AI58" s="40"/>
      <c r="AJ58" s="40"/>
      <c r="AK58" s="40"/>
      <c r="AL58" s="40"/>
      <c r="AU58" s="124" t="s">
        <v>66</v>
      </c>
      <c r="AV58" s="230">
        <f>AP8/VLOOKUP(AX58,AZ27:BA30,2,FALSE)</f>
        <v>1</v>
      </c>
      <c r="AW58" s="230">
        <f>BB8/VLOOKUP(AX58,AZ27:BA30,2,FALSE)</f>
        <v>1</v>
      </c>
      <c r="AX58" s="74" t="s">
        <v>35</v>
      </c>
      <c r="AY58" s="166">
        <f>BG8</f>
        <v>0</v>
      </c>
      <c r="AZ58" s="126" t="s">
        <v>340</v>
      </c>
      <c r="BC58" s="37" t="s">
        <v>309</v>
      </c>
      <c r="BE58" s="40"/>
      <c r="BF58" s="40"/>
      <c r="BG58" s="40"/>
      <c r="BH58" s="40"/>
      <c r="BI58" s="40"/>
      <c r="BJ58"/>
      <c r="BK58" s="40"/>
      <c r="BL58" s="40"/>
      <c r="BM58" s="40"/>
      <c r="BN58" s="40"/>
      <c r="BO58" s="40"/>
      <c r="BP58" s="40"/>
      <c r="BQ58" s="40"/>
      <c r="BR58" s="40"/>
      <c r="BS58" s="40"/>
      <c r="BT58" s="40"/>
      <c r="BU58" s="40"/>
      <c r="BV58" s="40"/>
      <c r="BW58" s="40"/>
      <c r="BX58" s="40"/>
    </row>
    <row r="59" spans="1:76" s="41" customFormat="1" x14ac:dyDescent="0.25">
      <c r="A59" s="82"/>
      <c r="AE59" s="115"/>
      <c r="AF59" s="115"/>
      <c r="AG59" s="115"/>
      <c r="AH59" s="118"/>
      <c r="AI59" s="40"/>
      <c r="AJ59" s="40"/>
      <c r="AK59" s="40"/>
      <c r="AL59" s="40"/>
      <c r="AU59" s="124" t="s">
        <v>373</v>
      </c>
      <c r="AV59" s="230">
        <f>AW36</f>
        <v>100</v>
      </c>
      <c r="AW59" s="230">
        <v>100</v>
      </c>
      <c r="AX59" s="232" t="s">
        <v>36</v>
      </c>
      <c r="AY59" s="166">
        <f>BG13</f>
        <v>0</v>
      </c>
      <c r="AZ59" s="126" t="s">
        <v>340</v>
      </c>
      <c r="BC59" s="37" t="s">
        <v>310</v>
      </c>
      <c r="BE59" s="40"/>
      <c r="BG59" s="40"/>
      <c r="BH59" s="40"/>
      <c r="BI59" s="40"/>
      <c r="BJ59"/>
      <c r="BK59" s="40"/>
      <c r="BL59" s="40"/>
      <c r="BM59" s="40"/>
      <c r="BN59" s="40"/>
      <c r="BO59" s="40"/>
      <c r="BP59" s="40"/>
      <c r="BQ59" s="40"/>
      <c r="BR59" s="40"/>
      <c r="BS59" s="40"/>
      <c r="BT59" s="40"/>
      <c r="BU59" s="40"/>
      <c r="BV59" s="40"/>
      <c r="BW59" s="40"/>
      <c r="BX59" s="40"/>
    </row>
    <row r="60" spans="1:76" s="41" customFormat="1" x14ac:dyDescent="0.25">
      <c r="A60" s="82"/>
      <c r="AE60" s="118"/>
      <c r="AF60" s="118"/>
      <c r="AG60" s="118"/>
      <c r="AH60" s="115"/>
      <c r="AI60" s="40"/>
      <c r="AJ60" s="40"/>
      <c r="AK60" s="40"/>
      <c r="AL60" s="40"/>
      <c r="AU60" s="125" t="s">
        <v>17</v>
      </c>
      <c r="AV60" s="227">
        <f>AW35</f>
        <v>93.9</v>
      </c>
      <c r="AW60" s="227">
        <f>IF(D7=AZ32,AS30,AS29)</f>
        <v>95</v>
      </c>
      <c r="AX60" s="228" t="s">
        <v>36</v>
      </c>
      <c r="AY60" s="162">
        <f>BG14</f>
        <v>8.2750000000000004</v>
      </c>
      <c r="AZ60" s="179" t="s">
        <v>340</v>
      </c>
      <c r="BC60" s="37" t="s">
        <v>311</v>
      </c>
      <c r="BE60" s="40"/>
      <c r="BG60" s="40"/>
      <c r="BH60" s="40"/>
      <c r="BI60" s="40"/>
      <c r="BJ60"/>
      <c r="BK60" s="40"/>
      <c r="BL60" s="40"/>
      <c r="BM60" s="40"/>
      <c r="BN60" s="40"/>
      <c r="BO60" s="40"/>
      <c r="BP60" s="40"/>
      <c r="BQ60" s="40"/>
      <c r="BR60" s="40"/>
      <c r="BS60" s="40"/>
      <c r="BT60" s="40"/>
      <c r="BU60" s="40"/>
      <c r="BV60" s="40"/>
      <c r="BW60" s="40"/>
      <c r="BX60" s="40"/>
    </row>
    <row r="61" spans="1:76" s="41" customFormat="1" x14ac:dyDescent="0.25">
      <c r="A61" s="82"/>
      <c r="AE61" s="115"/>
      <c r="AF61" s="115"/>
      <c r="AG61" s="115"/>
      <c r="AH61" s="115"/>
      <c r="AI61" s="40"/>
      <c r="AJ61" s="40"/>
      <c r="AK61" s="40"/>
      <c r="AL61" s="40"/>
      <c r="BC61" s="35" t="s">
        <v>313</v>
      </c>
      <c r="BE61" s="40"/>
      <c r="BG61" s="40"/>
      <c r="BH61" s="40"/>
      <c r="BI61" s="40"/>
      <c r="BJ61"/>
      <c r="BK61" s="40"/>
      <c r="BL61" s="40"/>
      <c r="BM61" s="40"/>
      <c r="BN61" s="40"/>
      <c r="BO61" s="40"/>
      <c r="BP61" s="40"/>
      <c r="BQ61" s="40"/>
      <c r="BR61" s="40"/>
      <c r="BS61" s="40"/>
      <c r="BT61" s="40"/>
      <c r="BU61" s="40"/>
      <c r="BV61" s="40"/>
      <c r="BW61" s="40"/>
      <c r="BX61" s="40"/>
    </row>
    <row r="62" spans="1:76" s="41" customFormat="1" x14ac:dyDescent="0.25">
      <c r="AE62" s="115"/>
      <c r="AF62" s="115"/>
      <c r="AG62" s="115"/>
      <c r="AH62" s="115"/>
      <c r="AI62" s="40"/>
      <c r="AJ62" s="40"/>
      <c r="AK62" s="40"/>
      <c r="AL62" s="40"/>
      <c r="AM62" s="80">
        <v>1</v>
      </c>
      <c r="AN62" s="80">
        <v>2</v>
      </c>
      <c r="AO62" s="80">
        <v>3</v>
      </c>
      <c r="AP62" s="80">
        <v>4</v>
      </c>
      <c r="AQ62" s="80">
        <v>5</v>
      </c>
      <c r="AR62" s="80">
        <v>6</v>
      </c>
      <c r="AS62" s="80">
        <v>7</v>
      </c>
      <c r="AT62" s="80">
        <v>8</v>
      </c>
      <c r="AU62" s="80">
        <v>9</v>
      </c>
      <c r="AV62" s="80">
        <v>10</v>
      </c>
      <c r="AW62" s="80">
        <v>11</v>
      </c>
      <c r="AX62" s="80">
        <v>12</v>
      </c>
      <c r="AY62" s="37"/>
      <c r="AZ62" s="37"/>
      <c r="BA62" s="37"/>
      <c r="BB62" s="37"/>
      <c r="BC62" s="35" t="s">
        <v>315</v>
      </c>
      <c r="BE62" s="40"/>
      <c r="BG62" s="40"/>
      <c r="BH62" s="40"/>
      <c r="BI62" s="40"/>
      <c r="BJ62"/>
      <c r="BK62" s="40"/>
      <c r="BL62" s="40"/>
      <c r="BM62" s="40"/>
      <c r="BN62" s="40"/>
      <c r="BO62" s="40"/>
      <c r="BP62" s="40"/>
      <c r="BQ62" s="40"/>
      <c r="BR62" s="40"/>
      <c r="BS62" s="40"/>
      <c r="BT62" s="40"/>
      <c r="BU62" s="40"/>
      <c r="BV62" s="40"/>
      <c r="BW62" s="40"/>
      <c r="BX62" s="40"/>
    </row>
    <row r="63" spans="1:76" s="41" customFormat="1" x14ac:dyDescent="0.25">
      <c r="AE63" s="115"/>
      <c r="AF63" s="115"/>
      <c r="AG63" s="115"/>
      <c r="AH63" s="115"/>
      <c r="AI63" s="40"/>
      <c r="AJ63" s="40"/>
      <c r="AK63" s="40"/>
      <c r="AL63" s="40"/>
      <c r="AM63" s="80"/>
      <c r="AN63" s="380" t="s">
        <v>16</v>
      </c>
      <c r="AO63" s="380"/>
      <c r="AP63" s="233" t="s">
        <v>17</v>
      </c>
      <c r="AQ63" s="233"/>
      <c r="AR63" s="84" t="s">
        <v>18</v>
      </c>
      <c r="AS63" s="84" t="s">
        <v>19</v>
      </c>
      <c r="AT63" s="80" t="s">
        <v>20</v>
      </c>
      <c r="AU63" s="80" t="s">
        <v>21</v>
      </c>
      <c r="AV63" s="80"/>
      <c r="AW63" s="80"/>
      <c r="AX63" s="80" t="s">
        <v>22</v>
      </c>
      <c r="AY63" s="37"/>
      <c r="AZ63" s="37"/>
      <c r="BA63" s="37"/>
      <c r="BB63" s="37"/>
      <c r="BE63" s="40"/>
      <c r="BG63" s="40"/>
      <c r="BH63" s="40"/>
      <c r="BI63" s="40"/>
      <c r="BJ63"/>
      <c r="BK63" s="40"/>
      <c r="BL63" s="40"/>
      <c r="BM63" s="40"/>
      <c r="BN63" s="40"/>
      <c r="BO63" s="40"/>
      <c r="BP63" s="40"/>
      <c r="BQ63" s="40"/>
      <c r="BR63" s="40"/>
      <c r="BS63" s="40"/>
      <c r="BT63" s="40"/>
      <c r="BU63" s="40"/>
      <c r="BV63" s="40"/>
      <c r="BW63" s="40"/>
      <c r="BX63" s="40"/>
    </row>
    <row r="64" spans="1:76" s="41" customFormat="1" x14ac:dyDescent="0.25">
      <c r="AE64" s="115"/>
      <c r="AF64" s="115"/>
      <c r="AG64" s="115"/>
      <c r="AH64" s="119"/>
      <c r="AI64" s="40"/>
      <c r="AJ64" s="40"/>
      <c r="AK64" s="40"/>
      <c r="AL64" s="40"/>
      <c r="AM64" s="80"/>
      <c r="AN64" s="85" t="s">
        <v>23</v>
      </c>
      <c r="AO64" s="80" t="s">
        <v>21</v>
      </c>
      <c r="AP64" s="80" t="s">
        <v>23</v>
      </c>
      <c r="AQ64" s="80" t="s">
        <v>24</v>
      </c>
      <c r="AR64" s="80" t="s">
        <v>23</v>
      </c>
      <c r="AS64" s="80" t="s">
        <v>23</v>
      </c>
      <c r="AT64" s="80"/>
      <c r="AU64" s="80"/>
      <c r="AV64" s="86"/>
      <c r="AW64" s="80"/>
      <c r="AX64" s="80"/>
      <c r="AY64" s="35"/>
      <c r="AZ64" s="35" t="s">
        <v>16</v>
      </c>
      <c r="BA64" s="81">
        <f>IF(D13="",VLOOKUP($D$7,$AM$65:$AU$66,AN$62,FALSE),D13)</f>
        <v>0.25</v>
      </c>
      <c r="BB64" s="35" t="s">
        <v>43</v>
      </c>
      <c r="BE64" s="40"/>
      <c r="BG64" s="40"/>
      <c r="BH64" s="40"/>
      <c r="BI64" s="40"/>
      <c r="BJ64"/>
      <c r="BK64" s="40"/>
      <c r="BL64" s="40"/>
      <c r="BM64" s="40"/>
      <c r="BN64" s="40"/>
      <c r="BO64" s="40"/>
      <c r="BP64" s="40"/>
      <c r="BQ64" s="40"/>
      <c r="BR64" s="40"/>
      <c r="BS64" s="40"/>
      <c r="BT64" s="40"/>
      <c r="BU64" s="40"/>
      <c r="BV64" s="40"/>
      <c r="BW64" s="40"/>
      <c r="BX64" s="40"/>
    </row>
    <row r="65" spans="1:76" s="41" customFormat="1" x14ac:dyDescent="0.25">
      <c r="F65" s="1"/>
      <c r="G65" s="1"/>
      <c r="H65" s="1"/>
      <c r="I65" s="83"/>
      <c r="J65" s="83"/>
      <c r="K65" s="83"/>
      <c r="L65" s="83"/>
      <c r="M65" s="83"/>
      <c r="N65" s="83"/>
      <c r="O65" s="77"/>
      <c r="P65" s="77"/>
      <c r="Q65" s="77"/>
      <c r="R65" s="77"/>
      <c r="S65" s="77"/>
      <c r="T65" s="77"/>
      <c r="U65" s="87">
        <v>11</v>
      </c>
      <c r="V65" s="87"/>
      <c r="W65" s="87"/>
      <c r="X65" s="365" t="str">
        <f>IF(W$38&gt;0,"",Solutions!A35)</f>
        <v/>
      </c>
      <c r="Y65" s="365"/>
      <c r="Z65" s="365"/>
      <c r="AA65" s="365"/>
      <c r="AB65" s="365"/>
      <c r="AC65" s="120"/>
      <c r="AD65" s="119"/>
      <c r="AE65" s="119"/>
      <c r="AF65" s="119"/>
      <c r="AG65" s="119"/>
      <c r="AH65" s="40"/>
      <c r="AI65" s="40"/>
      <c r="AJ65" s="40"/>
      <c r="AK65" s="40"/>
      <c r="AL65" s="40"/>
      <c r="AM65" s="80" t="s">
        <v>2</v>
      </c>
      <c r="AN65" s="153">
        <v>1.1000000000000001</v>
      </c>
      <c r="AO65" s="80" t="s">
        <v>423</v>
      </c>
      <c r="AP65" s="80">
        <v>35</v>
      </c>
      <c r="AQ65" s="80"/>
      <c r="AR65" s="80">
        <v>95</v>
      </c>
      <c r="AS65" s="80">
        <v>70</v>
      </c>
      <c r="AT65" s="80">
        <v>0.255</v>
      </c>
      <c r="AU65" s="86" t="s">
        <v>26</v>
      </c>
      <c r="AV65" s="86" t="s">
        <v>37</v>
      </c>
      <c r="AW65" s="80" t="s">
        <v>27</v>
      </c>
      <c r="AX65" s="86">
        <f>AT65/(AS65/100)/(AR65/100)/(AP65/100)</f>
        <v>1.0955961331901183</v>
      </c>
      <c r="AY65" s="35"/>
      <c r="AZ65" s="35" t="s">
        <v>17</v>
      </c>
      <c r="BA65" s="81">
        <f>VLOOKUP($D$7,$AM$65:$AU$66,AP$62, FALSE)</f>
        <v>90</v>
      </c>
      <c r="BB65" s="35" t="s">
        <v>57</v>
      </c>
      <c r="BE65" s="40"/>
      <c r="BG65" s="40"/>
      <c r="BH65" s="40"/>
      <c r="BI65" s="40"/>
      <c r="BJ65"/>
      <c r="BK65" s="40"/>
      <c r="BL65" s="40"/>
      <c r="BM65" s="40"/>
      <c r="BN65" s="40"/>
      <c r="BO65" s="40"/>
      <c r="BP65" s="40"/>
      <c r="BQ65" s="40"/>
      <c r="BR65" s="40"/>
      <c r="BS65" s="40"/>
      <c r="BT65" s="40"/>
      <c r="BU65" s="40"/>
      <c r="BV65" s="40"/>
      <c r="BW65" s="40"/>
      <c r="BX65" s="40"/>
    </row>
    <row r="66" spans="1:76" s="41" customFormat="1" x14ac:dyDescent="0.25">
      <c r="B66" s="83"/>
      <c r="C66" s="83"/>
      <c r="D66" s="83"/>
      <c r="E66" s="83"/>
      <c r="F66" s="1"/>
      <c r="G66" s="1"/>
      <c r="H66" s="1"/>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80" t="s">
        <v>1</v>
      </c>
      <c r="AN66" s="153">
        <v>0.25</v>
      </c>
      <c r="AO66" s="80" t="s">
        <v>424</v>
      </c>
      <c r="AP66" s="80">
        <v>90</v>
      </c>
      <c r="AQ66" s="80"/>
      <c r="AR66" s="80">
        <v>95</v>
      </c>
      <c r="AS66" s="80">
        <v>70</v>
      </c>
      <c r="AT66" s="80">
        <v>2.7250000000000001</v>
      </c>
      <c r="AU66" s="86" t="s">
        <v>30</v>
      </c>
      <c r="AV66" s="86" t="s">
        <v>31</v>
      </c>
      <c r="AW66" s="80" t="s">
        <v>32</v>
      </c>
      <c r="AX66" s="86">
        <f>AT66/(AS66/100)/(AR66/100)/(AP66/100)</f>
        <v>4.5530492898913959</v>
      </c>
      <c r="AY66" s="35"/>
      <c r="AZ66" s="35" t="s">
        <v>18</v>
      </c>
      <c r="BA66" s="81">
        <f>VLOOKUP($D$7,$AM$65:$AU$66,AR$62, FALSE)</f>
        <v>95</v>
      </c>
      <c r="BB66" s="35" t="s">
        <v>58</v>
      </c>
      <c r="BE66" s="40"/>
      <c r="BG66" s="40"/>
      <c r="BH66" s="40"/>
      <c r="BI66" s="40"/>
      <c r="BJ66"/>
      <c r="BK66" s="40"/>
      <c r="BL66" s="40"/>
      <c r="BO66" s="40"/>
      <c r="BP66" s="40"/>
      <c r="BQ66" s="40"/>
      <c r="BR66" s="40"/>
      <c r="BS66" s="40"/>
      <c r="BT66" s="40"/>
      <c r="BU66" s="40"/>
      <c r="BV66" s="40"/>
      <c r="BW66" s="40"/>
      <c r="BX66" s="40"/>
    </row>
    <row r="67" spans="1:76" s="41" customFormat="1" x14ac:dyDescent="0.25">
      <c r="F67" s="1"/>
      <c r="G67" s="1"/>
      <c r="H67" s="1"/>
      <c r="O67" s="40"/>
      <c r="P67" s="40"/>
      <c r="Q67" s="40"/>
      <c r="R67" s="40"/>
      <c r="S67" s="40"/>
      <c r="T67" s="40"/>
      <c r="U67" s="40"/>
      <c r="V67" s="40"/>
      <c r="W67" s="40"/>
      <c r="X67" s="40"/>
      <c r="Y67" s="40"/>
      <c r="Z67" s="40"/>
      <c r="AA67" s="40"/>
      <c r="AB67" s="40"/>
      <c r="AC67" s="40"/>
      <c r="AD67" s="117"/>
      <c r="AE67" s="40"/>
      <c r="AF67" s="40"/>
      <c r="AG67" s="40"/>
      <c r="AH67" s="40"/>
      <c r="AI67" s="40"/>
      <c r="AJ67" s="40"/>
      <c r="AK67" s="40"/>
      <c r="AL67" s="40"/>
      <c r="AM67" s="35"/>
      <c r="AN67" s="35"/>
      <c r="AO67" s="35"/>
      <c r="AP67" s="35"/>
      <c r="AS67" s="35"/>
      <c r="AT67" s="35"/>
      <c r="AY67" s="35"/>
      <c r="AZ67" s="35" t="s">
        <v>15</v>
      </c>
      <c r="BA67" s="81">
        <f>VLOOKUP($D$7,$AM$65:$AU$66,AS$62, FALSE)</f>
        <v>70</v>
      </c>
      <c r="BB67" s="35" t="s">
        <v>59</v>
      </c>
      <c r="BE67" s="40"/>
      <c r="BG67" s="40"/>
      <c r="BH67" s="40"/>
      <c r="BJ67"/>
      <c r="BO67" s="40"/>
      <c r="BP67" s="40"/>
      <c r="BQ67" s="40"/>
      <c r="BR67" s="40"/>
      <c r="BV67" s="40"/>
      <c r="BW67" s="40"/>
      <c r="BX67" s="40"/>
    </row>
    <row r="68" spans="1:76" s="41" customFormat="1" x14ac:dyDescent="0.25">
      <c r="F68" s="1"/>
      <c r="G68" s="1"/>
      <c r="H68" s="1"/>
      <c r="O68" s="40"/>
      <c r="P68" s="40"/>
      <c r="Q68" s="40"/>
      <c r="R68" s="40"/>
      <c r="S68" s="40"/>
      <c r="T68" s="40"/>
      <c r="U68" s="40"/>
      <c r="V68" s="40"/>
      <c r="W68" s="40"/>
      <c r="X68" s="40"/>
      <c r="Y68" s="40"/>
      <c r="Z68" s="40"/>
      <c r="AA68" s="40"/>
      <c r="AB68" s="40"/>
      <c r="AC68" s="40"/>
      <c r="AD68" s="117"/>
      <c r="AE68" s="40"/>
      <c r="AF68" s="40"/>
      <c r="AG68" s="40"/>
      <c r="AH68" s="40"/>
      <c r="AI68" s="40"/>
      <c r="AJ68" s="40"/>
      <c r="AK68" s="40"/>
      <c r="AL68" s="40"/>
      <c r="AM68" s="35"/>
      <c r="AN68" s="35"/>
      <c r="AO68" s="35"/>
      <c r="AP68" s="35"/>
      <c r="AR68" s="35"/>
      <c r="AS68" s="35"/>
      <c r="AT68" s="35"/>
      <c r="AY68" s="35"/>
      <c r="AZ68" s="35" t="s">
        <v>20</v>
      </c>
      <c r="BA68" s="81">
        <f>VLOOKUP($D$7,$AM$65:$AU$66,AT$62, FALSE)</f>
        <v>2.7250000000000001</v>
      </c>
      <c r="BB68" s="35" t="s">
        <v>60</v>
      </c>
      <c r="BC68" s="35"/>
      <c r="BD68" s="35"/>
      <c r="BE68" s="40"/>
      <c r="BG68" s="40"/>
      <c r="BH68" s="40"/>
      <c r="BJ68"/>
      <c r="BO68" s="40"/>
      <c r="BP68" s="40"/>
      <c r="BQ68" s="40"/>
      <c r="BR68" s="40"/>
      <c r="BV68" s="40"/>
      <c r="BW68" s="40"/>
      <c r="BX68" s="40"/>
    </row>
    <row r="69" spans="1:76" s="41" customFormat="1" x14ac:dyDescent="0.25">
      <c r="A69" s="40"/>
      <c r="F69" s="1"/>
      <c r="G69" s="1"/>
      <c r="H69" s="1"/>
      <c r="O69" s="40"/>
      <c r="P69" s="40"/>
      <c r="Q69" s="40"/>
      <c r="R69" s="40"/>
      <c r="S69" s="40"/>
      <c r="T69" s="40"/>
      <c r="U69" s="40"/>
      <c r="V69" s="40"/>
      <c r="W69" s="40"/>
      <c r="X69" s="40"/>
      <c r="Y69" s="40"/>
      <c r="Z69" s="40"/>
      <c r="AA69" s="40"/>
      <c r="AB69" s="40"/>
      <c r="AC69" s="40"/>
      <c r="AD69" s="117"/>
      <c r="AE69" s="40"/>
      <c r="AF69" s="40"/>
      <c r="AG69" s="40"/>
      <c r="AH69" s="40"/>
      <c r="AI69" s="40"/>
      <c r="AJ69" s="40"/>
      <c r="AK69" s="40"/>
      <c r="AL69" s="40"/>
      <c r="AR69" s="35"/>
      <c r="AU69" s="35"/>
      <c r="AV69" s="35"/>
      <c r="AW69" s="35"/>
      <c r="AX69" s="35"/>
      <c r="AY69" s="35"/>
      <c r="AZ69" s="35" t="s">
        <v>34</v>
      </c>
      <c r="BA69" s="55">
        <f>BA68/(BA65/100)/(BA66/100)</f>
        <v>3.1871345029239766</v>
      </c>
      <c r="BB69" s="35" t="s">
        <v>61</v>
      </c>
      <c r="BJ69"/>
    </row>
    <row r="70" spans="1:76" s="41" customFormat="1" x14ac:dyDescent="0.25">
      <c r="F70" s="1"/>
      <c r="G70" s="1"/>
      <c r="H70" s="1"/>
      <c r="O70" s="40"/>
      <c r="P70" s="40"/>
      <c r="Q70" s="40"/>
      <c r="R70" s="40"/>
      <c r="S70" s="40"/>
      <c r="T70" s="40"/>
      <c r="U70" s="40"/>
      <c r="V70" s="40"/>
      <c r="W70" s="40"/>
      <c r="X70" s="40"/>
      <c r="Y70" s="40"/>
      <c r="Z70" s="40"/>
      <c r="AA70" s="40"/>
      <c r="AB70" s="40"/>
      <c r="AC70" s="40"/>
      <c r="AD70" s="117"/>
      <c r="AE70" s="40"/>
      <c r="AF70" s="40"/>
      <c r="AG70" s="40"/>
      <c r="AH70" s="40"/>
      <c r="AI70" s="40"/>
      <c r="AJ70" s="40"/>
      <c r="AK70" s="40"/>
      <c r="AL70" s="40"/>
      <c r="AQ70" s="35"/>
      <c r="AU70" s="35"/>
      <c r="AV70" s="35"/>
      <c r="AW70" s="35"/>
      <c r="AX70" s="35"/>
      <c r="AY70" s="35"/>
      <c r="AZ70" s="35" t="s">
        <v>33</v>
      </c>
      <c r="BA70" s="53" t="str">
        <f>VLOOKUP($D$7,$AM$65:$AW$66,AW62, FALSE)</f>
        <v>Energy use (kWh/ML)</v>
      </c>
      <c r="BB70" s="35"/>
      <c r="BJ70"/>
    </row>
    <row r="71" spans="1:76" s="41" customFormat="1" x14ac:dyDescent="0.25">
      <c r="AE71" s="40"/>
      <c r="AF71" s="40"/>
      <c r="AG71" s="40"/>
      <c r="AH71" s="40"/>
      <c r="AI71" s="40"/>
      <c r="AJ71" s="40"/>
      <c r="AK71" s="40"/>
      <c r="AL71" s="40"/>
      <c r="AQ71" s="35"/>
      <c r="BJ71"/>
    </row>
    <row r="72" spans="1:76" s="41" customFormat="1" x14ac:dyDescent="0.25">
      <c r="AE72" s="40"/>
      <c r="AF72" s="40"/>
      <c r="AG72" s="40"/>
      <c r="AH72" s="40"/>
      <c r="AI72" s="40"/>
      <c r="AJ72" s="40"/>
      <c r="AK72" s="40"/>
      <c r="AL72" s="40"/>
      <c r="BJ72"/>
    </row>
    <row r="73" spans="1:76" s="40" customFormat="1" x14ac:dyDescent="0.25">
      <c r="A73" s="41"/>
      <c r="B73" s="41"/>
      <c r="C73" s="41"/>
      <c r="D73" s="41"/>
      <c r="E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c r="BK73" s="41"/>
      <c r="BL73" s="41"/>
      <c r="BM73" s="41"/>
      <c r="BN73" s="41"/>
      <c r="BO73" s="41"/>
      <c r="BP73" s="41"/>
      <c r="BQ73" s="41"/>
      <c r="BR73" s="41"/>
      <c r="BS73" s="41"/>
      <c r="BT73" s="41"/>
      <c r="BU73" s="41"/>
      <c r="BV73" s="41"/>
      <c r="BW73" s="41"/>
      <c r="BX73" s="41"/>
    </row>
    <row r="74" spans="1:76" s="41" customFormat="1" x14ac:dyDescent="0.25">
      <c r="B74" s="40"/>
      <c r="C74" s="40"/>
      <c r="D74" s="40"/>
      <c r="E74" s="40"/>
      <c r="AE74" s="40"/>
      <c r="AF74" s="40"/>
      <c r="AG74" s="40"/>
      <c r="AH74" s="40"/>
      <c r="AI74" s="40"/>
      <c r="AJ74" s="40"/>
      <c r="AK74" s="40"/>
      <c r="AL74" s="40"/>
      <c r="BJ74"/>
    </row>
    <row r="75" spans="1:76" s="41" customFormat="1" x14ac:dyDescent="0.25">
      <c r="BJ75"/>
    </row>
    <row r="76" spans="1:76" s="41" customFormat="1" x14ac:dyDescent="0.25">
      <c r="BJ76"/>
    </row>
    <row r="77" spans="1:76" s="41" customFormat="1" x14ac:dyDescent="0.25">
      <c r="BJ77"/>
    </row>
    <row r="78" spans="1:76" s="41" customFormat="1" x14ac:dyDescent="0.25">
      <c r="BJ78"/>
    </row>
    <row r="79" spans="1:76" s="41" customFormat="1" x14ac:dyDescent="0.25">
      <c r="BF79" s="35"/>
      <c r="BJ79"/>
    </row>
    <row r="80" spans="1:76" s="41" customFormat="1" x14ac:dyDescent="0.25">
      <c r="BF80" s="35"/>
      <c r="BJ80"/>
    </row>
    <row r="81" spans="2:62" s="41" customFormat="1" x14ac:dyDescent="0.25">
      <c r="F81" s="1"/>
      <c r="G81" s="1"/>
      <c r="H81" s="1"/>
      <c r="I81" s="40"/>
      <c r="BF81" s="35"/>
      <c r="BJ81"/>
    </row>
    <row r="82" spans="2:62" s="41" customFormat="1" x14ac:dyDescent="0.25">
      <c r="D82" s="40"/>
      <c r="E82" s="40"/>
      <c r="F82" s="1"/>
      <c r="G82" s="1"/>
      <c r="H82" s="1"/>
      <c r="I82" s="40"/>
      <c r="BF82" s="35"/>
      <c r="BJ82"/>
    </row>
    <row r="83" spans="2:62" s="41" customFormat="1" x14ac:dyDescent="0.25">
      <c r="D83" s="40"/>
      <c r="E83" s="40"/>
      <c r="F83" s="1"/>
      <c r="G83" s="1"/>
      <c r="H83" s="1"/>
      <c r="I83" s="40"/>
      <c r="BF83" s="35"/>
      <c r="BJ83"/>
    </row>
    <row r="84" spans="2:62" s="41" customFormat="1" x14ac:dyDescent="0.25">
      <c r="D84" s="40"/>
      <c r="E84" s="40"/>
      <c r="F84" s="1"/>
      <c r="G84" s="1"/>
      <c r="H84" s="1"/>
      <c r="I84" s="40"/>
      <c r="BF84" s="35"/>
      <c r="BJ84"/>
    </row>
    <row r="85" spans="2:62" s="41" customFormat="1" x14ac:dyDescent="0.25">
      <c r="D85" s="40"/>
      <c r="E85" s="40"/>
      <c r="F85" s="1"/>
      <c r="G85" s="1"/>
      <c r="H85" s="1"/>
      <c r="I85" s="40"/>
      <c r="AM85" s="40"/>
      <c r="AN85" s="40"/>
      <c r="BF85" s="35"/>
      <c r="BJ85"/>
    </row>
    <row r="86" spans="2:62" s="41" customFormat="1" x14ac:dyDescent="0.25">
      <c r="E86" s="40"/>
      <c r="F86" s="1"/>
      <c r="G86" s="1"/>
      <c r="H86" s="1"/>
      <c r="I86" s="40"/>
      <c r="AC86" s="37"/>
      <c r="AD86" s="37"/>
      <c r="AE86" s="37"/>
      <c r="AF86" s="37"/>
      <c r="AG86" s="37"/>
      <c r="AH86" s="37"/>
      <c r="AI86" s="37"/>
      <c r="AJ86" s="37"/>
      <c r="AK86" s="37"/>
      <c r="AL86" s="37"/>
      <c r="AM86" s="35"/>
      <c r="AN86" s="35"/>
      <c r="AS86" s="40"/>
      <c r="AT86" s="40"/>
      <c r="BF86" s="35"/>
      <c r="BJ86"/>
    </row>
    <row r="87" spans="2:62" x14ac:dyDescent="0.25">
      <c r="B87" s="41"/>
      <c r="C87" s="41"/>
      <c r="D87" s="41"/>
      <c r="E87" s="40"/>
      <c r="I87" s="40"/>
      <c r="J87" s="41"/>
      <c r="K87" s="41"/>
      <c r="L87" s="41"/>
      <c r="M87" s="41"/>
      <c r="N87" s="41"/>
      <c r="O87" s="41"/>
      <c r="P87" s="41"/>
      <c r="AC87" s="35"/>
      <c r="AD87" s="35"/>
      <c r="AE87" s="35"/>
      <c r="AF87" s="35"/>
      <c r="AG87" s="35"/>
      <c r="AH87" s="35"/>
      <c r="AI87" s="35"/>
      <c r="AJ87" s="35"/>
      <c r="AK87" s="35"/>
      <c r="AL87" s="35"/>
      <c r="AQ87" s="41"/>
      <c r="AR87" s="41"/>
      <c r="AU87" s="41"/>
      <c r="AV87" s="41"/>
      <c r="AW87" s="41"/>
      <c r="AX87" s="41"/>
      <c r="AY87" s="41"/>
      <c r="AZ87" s="41"/>
      <c r="BA87" s="41"/>
      <c r="BB87" s="41"/>
      <c r="BC87" s="41"/>
      <c r="BD87" s="41"/>
      <c r="BE87" s="41"/>
      <c r="BG87" s="41"/>
      <c r="BH87" s="41"/>
    </row>
    <row r="88" spans="2:62" x14ac:dyDescent="0.25">
      <c r="B88" s="41"/>
      <c r="C88" s="41"/>
      <c r="D88" s="41"/>
      <c r="E88" s="40"/>
      <c r="I88" s="37"/>
      <c r="J88" s="37"/>
      <c r="K88" s="37"/>
      <c r="L88" s="37"/>
      <c r="M88" s="37"/>
      <c r="N88" s="37"/>
      <c r="Q88" s="35"/>
      <c r="R88" s="35"/>
      <c r="S88" s="35"/>
      <c r="T88" s="35"/>
      <c r="U88" s="35"/>
      <c r="V88" s="35"/>
      <c r="W88" s="35"/>
      <c r="X88" s="35"/>
      <c r="Y88" s="35"/>
      <c r="Z88" s="35"/>
      <c r="AA88" s="35"/>
      <c r="AB88" s="35"/>
      <c r="AC88" s="35"/>
      <c r="AD88" s="35"/>
      <c r="AE88" s="35"/>
      <c r="AF88" s="35"/>
      <c r="AG88" s="35"/>
      <c r="AH88" s="35"/>
      <c r="AI88" s="35"/>
      <c r="AJ88" s="35"/>
      <c r="AK88" s="35"/>
      <c r="AL88" s="35"/>
      <c r="AO88" s="37"/>
      <c r="AP88" s="37"/>
      <c r="AQ88" s="41"/>
      <c r="AU88" s="40"/>
      <c r="AV88" s="41"/>
      <c r="AW88" s="41"/>
      <c r="AX88" s="41"/>
      <c r="AY88" s="41"/>
      <c r="AZ88" s="41"/>
      <c r="BA88" s="41"/>
      <c r="BB88" s="41"/>
      <c r="BC88" s="41"/>
      <c r="BD88" s="41"/>
      <c r="BE88" s="41"/>
      <c r="BG88" s="41"/>
      <c r="BH88" s="41"/>
    </row>
    <row r="89" spans="2:62" x14ac:dyDescent="0.25">
      <c r="B89" s="41"/>
      <c r="C89" s="41"/>
      <c r="D89" s="41"/>
      <c r="E89" s="40"/>
      <c r="I89" s="37"/>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Q89" s="41"/>
      <c r="AR89" s="37"/>
    </row>
    <row r="90" spans="2:62" x14ac:dyDescent="0.25">
      <c r="D90" s="37"/>
      <c r="E90" s="37"/>
      <c r="I90" s="37"/>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V90" s="37"/>
      <c r="AW90" s="37"/>
      <c r="AX90" s="37"/>
    </row>
    <row r="91" spans="2:62" x14ac:dyDescent="0.25">
      <c r="D91" s="37"/>
      <c r="E91" s="37"/>
      <c r="I91" s="37"/>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Q91" s="37"/>
    </row>
    <row r="92" spans="2:62" x14ac:dyDescent="0.25">
      <c r="D92" s="37"/>
      <c r="E92" s="37"/>
      <c r="I92" s="37"/>
      <c r="O92" s="35"/>
      <c r="P92" s="35"/>
      <c r="Q92" s="35"/>
      <c r="R92" s="35"/>
      <c r="S92" s="35"/>
      <c r="T92" s="35"/>
      <c r="U92" s="35"/>
      <c r="V92" s="35"/>
      <c r="W92" s="35"/>
      <c r="X92" s="35"/>
      <c r="Y92" s="35"/>
      <c r="Z92" s="35"/>
      <c r="AA92" s="35"/>
      <c r="AB92" s="35"/>
      <c r="AC92" s="35"/>
      <c r="AD92" s="35"/>
      <c r="AE92" s="35"/>
      <c r="AF92" s="35"/>
      <c r="AG92" s="35"/>
      <c r="AH92" s="35"/>
      <c r="AI92" s="35"/>
      <c r="AJ92" s="35"/>
      <c r="AK92" s="35"/>
      <c r="AL92" s="35"/>
    </row>
    <row r="93" spans="2:62" x14ac:dyDescent="0.25">
      <c r="D93" s="37"/>
      <c r="E93" s="37"/>
      <c r="I93" s="37"/>
      <c r="O93" s="35"/>
      <c r="P93" s="35"/>
      <c r="Q93" s="35"/>
      <c r="R93" s="35"/>
      <c r="S93" s="35"/>
      <c r="T93" s="35"/>
      <c r="U93" s="35"/>
      <c r="V93" s="35"/>
      <c r="W93" s="35"/>
      <c r="X93" s="35"/>
      <c r="Y93" s="35"/>
      <c r="Z93" s="35"/>
      <c r="AA93" s="35"/>
      <c r="AB93" s="35"/>
      <c r="AC93" s="35"/>
      <c r="AD93" s="35"/>
      <c r="AE93" s="35"/>
      <c r="AF93" s="35"/>
      <c r="AG93" s="35"/>
      <c r="AH93" s="35"/>
      <c r="AI93" s="35"/>
      <c r="AJ93" s="35"/>
      <c r="AK93" s="35"/>
      <c r="AL93" s="35"/>
    </row>
    <row r="94" spans="2:62" x14ac:dyDescent="0.25">
      <c r="D94" s="37"/>
      <c r="E94" s="37"/>
      <c r="I94" s="37"/>
      <c r="O94" s="35"/>
      <c r="P94" s="35"/>
      <c r="Q94" s="35"/>
      <c r="R94" s="35"/>
      <c r="S94" s="35"/>
      <c r="T94" s="35"/>
      <c r="U94" s="35"/>
      <c r="V94" s="35"/>
      <c r="W94" s="35"/>
      <c r="X94" s="35"/>
      <c r="Y94" s="35"/>
      <c r="Z94" s="35"/>
      <c r="AA94" s="35"/>
      <c r="AB94" s="35"/>
      <c r="AC94" s="35"/>
      <c r="AD94" s="35"/>
      <c r="AE94" s="35"/>
      <c r="AF94" s="35"/>
      <c r="AG94" s="35"/>
      <c r="AH94" s="35"/>
      <c r="AI94" s="35"/>
      <c r="AJ94" s="35"/>
      <c r="AK94" s="35"/>
      <c r="AL94" s="35"/>
    </row>
    <row r="95" spans="2:62" x14ac:dyDescent="0.25">
      <c r="D95" s="37"/>
      <c r="E95" s="37"/>
      <c r="I95" s="37"/>
      <c r="O95" s="35"/>
      <c r="P95" s="35"/>
      <c r="Q95" s="35"/>
      <c r="R95" s="35"/>
      <c r="S95" s="35"/>
      <c r="T95" s="35"/>
      <c r="U95" s="35"/>
      <c r="V95" s="35"/>
      <c r="W95" s="35"/>
      <c r="X95" s="35"/>
      <c r="Y95" s="35"/>
      <c r="Z95" s="35"/>
      <c r="AA95" s="35"/>
      <c r="AB95" s="35"/>
      <c r="AC95" s="35"/>
      <c r="AD95" s="35"/>
      <c r="AE95" s="35"/>
      <c r="AF95" s="35"/>
      <c r="AG95" s="35"/>
      <c r="AH95" s="35"/>
      <c r="AI95" s="35"/>
      <c r="AJ95" s="35"/>
      <c r="AK95" s="35"/>
      <c r="AL95" s="35"/>
    </row>
    <row r="96" spans="2:62" x14ac:dyDescent="0.25">
      <c r="D96" s="37"/>
      <c r="E96" s="37"/>
      <c r="I96" s="37"/>
      <c r="O96" s="35"/>
      <c r="P96" s="35"/>
      <c r="Q96" s="35"/>
      <c r="R96" s="35"/>
      <c r="S96" s="35"/>
      <c r="T96" s="35"/>
      <c r="U96" s="35"/>
      <c r="V96" s="35"/>
      <c r="W96" s="35"/>
      <c r="X96" s="35"/>
      <c r="Y96" s="35"/>
      <c r="Z96" s="35"/>
      <c r="AA96" s="35"/>
      <c r="AB96" s="35"/>
      <c r="AC96" s="35"/>
      <c r="AD96" s="35"/>
      <c r="AE96" s="35"/>
      <c r="AF96" s="35"/>
      <c r="AG96" s="35"/>
      <c r="AH96" s="35"/>
      <c r="AI96" s="35"/>
      <c r="AJ96" s="35"/>
      <c r="AK96" s="35"/>
      <c r="AL96" s="35"/>
    </row>
    <row r="97" spans="2:38" x14ac:dyDescent="0.25">
      <c r="D97" s="37"/>
      <c r="E97" s="37"/>
      <c r="I97" s="1"/>
      <c r="J97" s="1"/>
      <c r="K97" s="1"/>
      <c r="L97" s="1"/>
      <c r="M97" s="1"/>
      <c r="N97" s="1">
        <v>1</v>
      </c>
      <c r="O97" s="1"/>
      <c r="P97" s="1"/>
      <c r="Q97" s="1"/>
      <c r="R97" s="1"/>
      <c r="S97" s="1"/>
      <c r="T97" s="1"/>
      <c r="U97" s="1">
        <v>1</v>
      </c>
      <c r="V97" s="1" t="str">
        <f>IF(W$38&gt;0,Solutions!A38,Solutions!A25)</f>
        <v>If fitted is the VSD, can the speed be reduced?</v>
      </c>
      <c r="W97" s="1"/>
      <c r="X97" s="41"/>
      <c r="Y97" s="1"/>
      <c r="Z97" s="1"/>
      <c r="AA97" s="1"/>
      <c r="AB97" s="1"/>
      <c r="AC97" s="1">
        <v>1</v>
      </c>
      <c r="AD97" s="1" t="s">
        <v>264</v>
      </c>
      <c r="AE97" s="35"/>
      <c r="AF97" s="35"/>
      <c r="AG97" s="35"/>
      <c r="AH97" s="35"/>
      <c r="AI97" s="35"/>
      <c r="AJ97" s="35"/>
      <c r="AK97" s="35"/>
      <c r="AL97" s="35"/>
    </row>
    <row r="98" spans="2:38" x14ac:dyDescent="0.25">
      <c r="B98" s="1">
        <v>1</v>
      </c>
      <c r="C98" s="1"/>
      <c r="D98" s="1" t="s">
        <v>271</v>
      </c>
      <c r="E98" s="1"/>
      <c r="I98" s="1"/>
      <c r="J98" s="1"/>
      <c r="K98" s="1"/>
      <c r="L98" s="1"/>
      <c r="M98" s="1"/>
      <c r="N98" s="1">
        <v>2</v>
      </c>
      <c r="O98" s="1"/>
      <c r="P98" s="1"/>
      <c r="Q98" s="1"/>
      <c r="R98" s="1"/>
      <c r="S98" s="1"/>
      <c r="T98" s="1"/>
      <c r="U98" s="1">
        <v>2</v>
      </c>
      <c r="V98" s="1" t="str">
        <f>IF(W$38&gt;0,Solutions!A39,Solutions!A26)</f>
        <v>Consider installing a VSD to reduced operating pressure (consider in relation to pump duty point)?</v>
      </c>
      <c r="W98" s="1"/>
      <c r="X98" s="41"/>
      <c r="Y98" s="1"/>
      <c r="Z98" s="1"/>
      <c r="AA98" s="1"/>
      <c r="AB98" s="1"/>
      <c r="AC98" s="1">
        <v>2</v>
      </c>
      <c r="AD98" s="1" t="s">
        <v>282</v>
      </c>
      <c r="AE98" s="35"/>
      <c r="AF98" s="35"/>
      <c r="AG98" s="35"/>
      <c r="AH98" s="35"/>
      <c r="AI98" s="35"/>
      <c r="AJ98" s="35"/>
      <c r="AK98" s="35"/>
      <c r="AL98" s="35"/>
    </row>
    <row r="99" spans="2:38" x14ac:dyDescent="0.25">
      <c r="B99" s="1">
        <v>2</v>
      </c>
      <c r="C99" s="1"/>
      <c r="D99" s="1" t="s">
        <v>272</v>
      </c>
      <c r="E99" s="1"/>
      <c r="I99" s="1"/>
      <c r="J99" s="1"/>
      <c r="K99" s="1"/>
      <c r="L99" s="1"/>
      <c r="M99" s="1"/>
      <c r="N99" s="1">
        <v>3</v>
      </c>
      <c r="O99" s="1"/>
      <c r="P99" s="1"/>
      <c r="Q99" s="1"/>
      <c r="R99" s="1"/>
      <c r="S99" s="1"/>
      <c r="T99" s="1"/>
      <c r="U99" s="1">
        <v>3</v>
      </c>
      <c r="V99" s="1" t="str">
        <f>IF(W$38&gt;0,Solutions!A40,Solutions!A27)</f>
        <v>Consult your supplier about altering system capacity to reduce pressure (consider in relation to pump duty point)?</v>
      </c>
      <c r="W99" s="1"/>
      <c r="X99" s="41"/>
      <c r="Y99" s="1"/>
      <c r="Z99" s="1"/>
      <c r="AA99" s="1"/>
      <c r="AB99" s="1"/>
      <c r="AC99" s="1">
        <v>3</v>
      </c>
      <c r="AD99" s="1" t="s">
        <v>258</v>
      </c>
      <c r="AE99" s="35"/>
      <c r="AF99" s="35"/>
      <c r="AG99" s="35"/>
      <c r="AH99" s="35"/>
      <c r="AI99" s="35"/>
      <c r="AJ99" s="35"/>
      <c r="AK99" s="35"/>
      <c r="AL99" s="35"/>
    </row>
    <row r="100" spans="2:38" x14ac:dyDescent="0.25">
      <c r="B100" s="1">
        <v>3</v>
      </c>
      <c r="C100" s="1"/>
      <c r="D100" s="1" t="s">
        <v>246</v>
      </c>
      <c r="E100" s="1"/>
      <c r="I100" s="1"/>
      <c r="J100" s="1"/>
      <c r="K100" s="1"/>
      <c r="L100" s="1"/>
      <c r="M100" s="1"/>
      <c r="N100" s="1">
        <v>4</v>
      </c>
      <c r="O100" s="1"/>
      <c r="P100" s="1"/>
      <c r="Q100" s="1"/>
      <c r="R100" s="1"/>
      <c r="S100" s="1"/>
      <c r="T100" s="1"/>
      <c r="U100" s="1">
        <v>4</v>
      </c>
      <c r="V100" s="1"/>
      <c r="W100" s="1"/>
      <c r="X100" s="1" t="str">
        <f>IF(W$38&gt;0,"",Solutions!A28)</f>
        <v/>
      </c>
      <c r="Y100" s="1"/>
      <c r="Z100" s="1"/>
      <c r="AA100" s="1"/>
      <c r="AB100" s="1"/>
      <c r="AC100" s="1">
        <v>4</v>
      </c>
      <c r="AD100" s="1" t="s">
        <v>265</v>
      </c>
      <c r="AE100" s="35"/>
      <c r="AF100" s="35"/>
      <c r="AG100" s="35"/>
      <c r="AH100" s="35"/>
      <c r="AI100" s="35"/>
      <c r="AJ100" s="35"/>
      <c r="AK100" s="35"/>
      <c r="AL100" s="35"/>
    </row>
    <row r="101" spans="2:38" x14ac:dyDescent="0.25">
      <c r="B101" s="1">
        <v>4</v>
      </c>
      <c r="C101" s="1"/>
      <c r="D101" s="1" t="s">
        <v>247</v>
      </c>
      <c r="E101" s="1"/>
      <c r="I101" s="1"/>
      <c r="J101" s="1"/>
      <c r="K101" s="1"/>
      <c r="L101" s="1"/>
      <c r="M101" s="1"/>
      <c r="N101" s="1">
        <v>5</v>
      </c>
      <c r="O101" s="1"/>
      <c r="P101" s="1"/>
      <c r="Q101" s="1"/>
      <c r="R101" s="1"/>
      <c r="S101" s="1"/>
      <c r="T101" s="1"/>
      <c r="U101" s="1">
        <v>5</v>
      </c>
      <c r="V101" s="1"/>
      <c r="W101" s="1"/>
      <c r="X101" s="1" t="str">
        <f>IF(W$38&gt;0,"",Solutions!A29)</f>
        <v/>
      </c>
      <c r="Y101" s="1"/>
      <c r="Z101" s="1"/>
      <c r="AA101" s="1"/>
      <c r="AB101" s="1"/>
      <c r="AC101" s="1">
        <v>5</v>
      </c>
      <c r="AD101" s="1" t="s">
        <v>290</v>
      </c>
      <c r="AE101" s="35"/>
      <c r="AF101" s="35"/>
      <c r="AG101" s="35"/>
      <c r="AH101" s="35"/>
      <c r="AI101" s="35"/>
      <c r="AJ101" s="35"/>
      <c r="AK101" s="35"/>
      <c r="AL101" s="35"/>
    </row>
    <row r="102" spans="2:38" x14ac:dyDescent="0.25">
      <c r="B102" s="1">
        <v>5</v>
      </c>
      <c r="C102" s="1"/>
      <c r="D102" s="1" t="s">
        <v>254</v>
      </c>
      <c r="E102" s="1"/>
      <c r="I102" s="1"/>
      <c r="J102" s="1"/>
      <c r="K102" s="1"/>
      <c r="L102" s="1"/>
      <c r="M102" s="1"/>
      <c r="N102" s="1">
        <v>6</v>
      </c>
      <c r="O102" s="1"/>
      <c r="P102" s="1"/>
      <c r="Q102" s="1"/>
      <c r="R102" s="1"/>
      <c r="S102" s="1"/>
      <c r="T102" s="1"/>
      <c r="U102" s="1">
        <v>6</v>
      </c>
      <c r="V102" s="1"/>
      <c r="W102" s="1"/>
      <c r="X102" s="1" t="str">
        <f>IF(W$38&gt;0,"",Solutions!A30)</f>
        <v/>
      </c>
      <c r="Y102" s="1"/>
      <c r="Z102" s="1"/>
      <c r="AA102" s="1"/>
      <c r="AB102" s="1"/>
      <c r="AC102" s="1">
        <v>6</v>
      </c>
      <c r="AD102" s="1" t="s">
        <v>283</v>
      </c>
      <c r="AE102" s="35"/>
      <c r="AF102" s="35"/>
      <c r="AG102" s="35"/>
      <c r="AH102" s="35"/>
      <c r="AI102" s="35"/>
      <c r="AJ102" s="35"/>
      <c r="AK102" s="35"/>
      <c r="AL102" s="35"/>
    </row>
    <row r="103" spans="2:38" x14ac:dyDescent="0.25">
      <c r="B103" s="1">
        <v>6</v>
      </c>
      <c r="C103" s="1"/>
      <c r="D103" s="1" t="s">
        <v>250</v>
      </c>
      <c r="E103" s="1"/>
      <c r="I103" s="1"/>
      <c r="J103" s="1"/>
      <c r="K103" s="1"/>
      <c r="L103" s="1"/>
      <c r="M103" s="1"/>
      <c r="N103" s="1">
        <v>7</v>
      </c>
      <c r="O103" s="1"/>
      <c r="P103" s="1"/>
      <c r="Q103" s="1"/>
      <c r="R103" s="1"/>
      <c r="S103" s="1"/>
      <c r="T103" s="1"/>
      <c r="U103" s="1">
        <v>7</v>
      </c>
      <c r="V103" s="1"/>
      <c r="W103" s="1"/>
      <c r="X103" s="1" t="str">
        <f>IF(W$38&gt;0,"",Solutions!A31)</f>
        <v/>
      </c>
      <c r="Y103" s="1"/>
      <c r="Z103" s="1"/>
      <c r="AA103" s="1"/>
      <c r="AB103" s="1"/>
      <c r="AC103" s="1"/>
      <c r="AD103" s="1" t="s">
        <v>284</v>
      </c>
      <c r="AE103" s="35"/>
      <c r="AF103" s="35"/>
      <c r="AG103" s="35"/>
      <c r="AH103" s="35"/>
      <c r="AI103" s="35"/>
      <c r="AJ103" s="35"/>
      <c r="AK103" s="35"/>
      <c r="AL103" s="35"/>
    </row>
    <row r="104" spans="2:38" x14ac:dyDescent="0.25">
      <c r="B104" s="1">
        <v>7</v>
      </c>
      <c r="C104" s="1"/>
      <c r="D104" s="1" t="s">
        <v>275</v>
      </c>
      <c r="E104" s="1"/>
      <c r="I104" s="1"/>
      <c r="J104" s="1"/>
      <c r="K104" s="1"/>
      <c r="L104" s="1"/>
      <c r="M104" s="1"/>
      <c r="N104" s="1">
        <v>8</v>
      </c>
      <c r="O104" s="1"/>
      <c r="P104" s="1"/>
      <c r="Q104" s="1"/>
      <c r="R104" s="1"/>
      <c r="S104" s="1"/>
      <c r="T104" s="1"/>
      <c r="U104" s="1">
        <v>8</v>
      </c>
      <c r="V104" s="1"/>
      <c r="W104" s="1"/>
      <c r="X104" s="1" t="str">
        <f>IF(W$38&gt;0,"",Solutions!A32)</f>
        <v/>
      </c>
      <c r="Y104" s="1"/>
      <c r="Z104" s="1"/>
      <c r="AA104" s="1"/>
      <c r="AB104" s="1"/>
      <c r="AC104" s="1">
        <v>1</v>
      </c>
      <c r="AD104" s="1" t="s">
        <v>285</v>
      </c>
      <c r="AE104" s="35"/>
      <c r="AF104" s="35"/>
      <c r="AG104" s="35"/>
      <c r="AH104" s="35"/>
      <c r="AI104" s="35"/>
      <c r="AJ104" s="35"/>
      <c r="AK104" s="35"/>
      <c r="AL104" s="35"/>
    </row>
    <row r="105" spans="2:38" x14ac:dyDescent="0.25">
      <c r="B105" s="1">
        <v>8</v>
      </c>
      <c r="C105" s="1"/>
      <c r="D105" s="1" t="s">
        <v>273</v>
      </c>
      <c r="E105" s="1"/>
      <c r="I105" s="1"/>
      <c r="J105" s="1"/>
      <c r="K105" s="1"/>
      <c r="L105" s="1"/>
      <c r="M105" s="1"/>
      <c r="N105" s="1">
        <v>9</v>
      </c>
      <c r="O105" s="1"/>
      <c r="P105" s="1"/>
      <c r="Q105" s="1"/>
      <c r="R105" s="1"/>
      <c r="S105" s="1"/>
      <c r="T105" s="1"/>
      <c r="U105" s="1">
        <v>9</v>
      </c>
      <c r="V105" s="1"/>
      <c r="W105" s="1"/>
      <c r="X105" s="1" t="str">
        <f>IF(W$38&gt;0,"",Solutions!A33)</f>
        <v/>
      </c>
      <c r="Y105" s="1"/>
      <c r="Z105" s="1"/>
      <c r="AA105" s="1"/>
      <c r="AB105" s="1"/>
      <c r="AC105" s="1">
        <v>2</v>
      </c>
      <c r="AD105" s="1" t="s">
        <v>286</v>
      </c>
      <c r="AE105" s="35"/>
      <c r="AF105" s="35"/>
      <c r="AG105" s="35"/>
      <c r="AH105" s="35"/>
      <c r="AI105" s="35"/>
      <c r="AJ105" s="35"/>
      <c r="AK105" s="35"/>
      <c r="AL105" s="35"/>
    </row>
    <row r="106" spans="2:38" x14ac:dyDescent="0.25">
      <c r="B106" s="1">
        <v>9</v>
      </c>
      <c r="C106" s="1"/>
      <c r="D106" s="1" t="s">
        <v>276</v>
      </c>
      <c r="E106" s="1"/>
      <c r="I106" s="1"/>
      <c r="J106" s="1"/>
      <c r="K106" s="1"/>
      <c r="L106" s="1"/>
      <c r="M106" s="1"/>
      <c r="N106" s="1">
        <v>10</v>
      </c>
      <c r="O106" s="1"/>
      <c r="P106" s="1"/>
      <c r="Q106" s="1"/>
      <c r="R106" s="1"/>
      <c r="S106" s="1"/>
      <c r="T106" s="1"/>
      <c r="U106" s="1">
        <v>10</v>
      </c>
      <c r="V106" s="1"/>
      <c r="W106" s="1"/>
      <c r="X106" s="1" t="str">
        <f>IF(W$38&gt;0,"",Solutions!A34)</f>
        <v/>
      </c>
      <c r="Y106" s="1"/>
      <c r="Z106" s="1"/>
      <c r="AA106" s="1"/>
      <c r="AB106" s="1"/>
      <c r="AC106" s="1">
        <v>3</v>
      </c>
      <c r="AD106" s="1" t="s">
        <v>266</v>
      </c>
      <c r="AE106" s="35"/>
      <c r="AF106" s="35"/>
      <c r="AG106" s="35"/>
      <c r="AH106" s="35"/>
      <c r="AI106" s="35"/>
      <c r="AJ106" s="35"/>
      <c r="AK106" s="35"/>
      <c r="AL106" s="35"/>
    </row>
    <row r="107" spans="2:38" x14ac:dyDescent="0.25">
      <c r="B107" s="1">
        <v>10</v>
      </c>
      <c r="C107" s="1"/>
      <c r="D107" s="1" t="s">
        <v>289</v>
      </c>
      <c r="E107" s="1"/>
      <c r="I107" s="37"/>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row>
    <row r="108" spans="2:38" x14ac:dyDescent="0.25">
      <c r="D108" s="37"/>
      <c r="E108" s="37"/>
      <c r="I108" s="37"/>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row>
    <row r="109" spans="2:38" x14ac:dyDescent="0.25">
      <c r="D109" s="37"/>
      <c r="E109" s="37"/>
      <c r="I109" s="37"/>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row>
    <row r="110" spans="2:38" x14ac:dyDescent="0.25">
      <c r="D110" s="37"/>
      <c r="E110" s="37"/>
      <c r="I110" s="37"/>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row>
    <row r="111" spans="2:38" x14ac:dyDescent="0.25">
      <c r="D111" s="37"/>
      <c r="E111" s="37"/>
      <c r="I111" s="37"/>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row>
    <row r="112" spans="2:38" x14ac:dyDescent="0.25">
      <c r="D112" s="37"/>
      <c r="E112" s="37"/>
      <c r="I112" s="37"/>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row>
    <row r="113" spans="4:38" x14ac:dyDescent="0.25">
      <c r="D113" s="37"/>
      <c r="E113" s="37"/>
      <c r="I113" s="37"/>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row>
    <row r="114" spans="4:38" x14ac:dyDescent="0.25">
      <c r="D114" s="37"/>
      <c r="E114" s="37"/>
      <c r="I114" s="37"/>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row>
    <row r="115" spans="4:38" x14ac:dyDescent="0.25">
      <c r="D115" s="37"/>
      <c r="E115" s="37"/>
      <c r="I115" s="37"/>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row>
    <row r="116" spans="4:38" x14ac:dyDescent="0.25">
      <c r="D116" s="37"/>
      <c r="E116" s="37"/>
      <c r="I116" s="37"/>
      <c r="O116" s="35"/>
      <c r="P116" s="35"/>
      <c r="Q116" s="35"/>
      <c r="R116" s="35"/>
      <c r="S116" s="35"/>
      <c r="T116" s="35"/>
      <c r="U116" s="35"/>
      <c r="V116" s="35"/>
      <c r="W116" s="35"/>
      <c r="X116" s="35"/>
      <c r="Y116" s="35"/>
      <c r="Z116" s="35"/>
      <c r="AA116" s="35"/>
      <c r="AB116" s="35"/>
    </row>
    <row r="117" spans="4:38" x14ac:dyDescent="0.25">
      <c r="D117" s="37"/>
      <c r="E117" s="37"/>
    </row>
    <row r="118" spans="4:38" x14ac:dyDescent="0.25">
      <c r="D118" s="37"/>
      <c r="E118" s="37"/>
    </row>
  </sheetData>
  <sheetProtection algorithmName="SHA-512" hashValue="VRqouln9gj9jdjhH58Vg8TnXKD8ZoY5XIN+xqPlnd6iZzjmmXUKyV9t5xTIwD19cDI1kmYVrb/gaYA0r20QNQA==" saltValue="BBQb/X6YUcxVqsoFoPk8fA==" spinCount="100000" sheet="1" selectLockedCells="1"/>
  <protectedRanges>
    <protectedRange sqref="AW34 AO22:AP22 H20:I20 D26:D27 X38:X39 AT23 AX58 T38:T39 R38:R39 D13 D16:D18 D7 R16 K23:L23 K27:L27 L20:M20 D36 AO32 AT25 G28:H28 H14:I14 M11:N11 P7:Q7 S7:T7 H24:I24" name="Range1"/>
  </protectedRanges>
  <mergeCells count="15">
    <mergeCell ref="AN63:AO63"/>
    <mergeCell ref="AD50:AE50"/>
    <mergeCell ref="P43:Q43"/>
    <mergeCell ref="G33:I35"/>
    <mergeCell ref="V33:X35"/>
    <mergeCell ref="P34:S35"/>
    <mergeCell ref="L31:N35"/>
    <mergeCell ref="X65:AB65"/>
    <mergeCell ref="D2:X4"/>
    <mergeCell ref="B2:C2"/>
    <mergeCell ref="B4:C4"/>
    <mergeCell ref="D28:E28"/>
    <mergeCell ref="G30:I32"/>
    <mergeCell ref="V25:X28"/>
    <mergeCell ref="Q23:U25"/>
  </mergeCells>
  <conditionalFormatting sqref="D35">
    <cfRule type="cellIs" dxfId="101" priority="112" operator="greaterThan">
      <formula>$AR$49</formula>
    </cfRule>
    <cfRule type="cellIs" dxfId="100" priority="113" operator="lessThan">
      <formula>$AR$48</formula>
    </cfRule>
  </conditionalFormatting>
  <conditionalFormatting sqref="M38">
    <cfRule type="cellIs" dxfId="99" priority="10" operator="lessThan">
      <formula>$AR$43</formula>
    </cfRule>
    <cfRule type="cellIs" dxfId="98" priority="11" operator="lessThan">
      <formula>$AR$45</formula>
    </cfRule>
    <cfRule type="cellIs" dxfId="97" priority="12" operator="lessThan">
      <formula>$AR$44</formula>
    </cfRule>
    <cfRule type="cellIs" dxfId="96" priority="13" operator="greaterThanOrEqual">
      <formula>$AR$45</formula>
    </cfRule>
  </conditionalFormatting>
  <conditionalFormatting sqref="W40">
    <cfRule type="cellIs" dxfId="95" priority="9" operator="lessThan">
      <formula>0</formula>
    </cfRule>
  </conditionalFormatting>
  <conditionalFormatting sqref="P34">
    <cfRule type="expression" dxfId="94" priority="213">
      <formula>$AW$49</formula>
    </cfRule>
  </conditionalFormatting>
  <conditionalFormatting sqref="V25">
    <cfRule type="expression" dxfId="93" priority="238">
      <formula>$AW$48</formula>
    </cfRule>
  </conditionalFormatting>
  <conditionalFormatting sqref="L31">
    <cfRule type="expression" dxfId="92" priority="239">
      <formula>AND(NOT($AW$50),NOT($AW$51))</formula>
    </cfRule>
  </conditionalFormatting>
  <conditionalFormatting sqref="Q23">
    <cfRule type="expression" dxfId="91" priority="241">
      <formula>NOT($AW$52)</formula>
    </cfRule>
  </conditionalFormatting>
  <conditionalFormatting sqref="P32:S32">
    <cfRule type="expression" dxfId="90" priority="242">
      <formula>OR($R$32&gt;$AW$42,$R$32&lt;$AW$43)</formula>
    </cfRule>
  </conditionalFormatting>
  <conditionalFormatting sqref="D19">
    <cfRule type="expression" dxfId="89" priority="4">
      <formula>$D$20&gt;0</formula>
    </cfRule>
  </conditionalFormatting>
  <conditionalFormatting sqref="AS32">
    <cfRule type="expression" dxfId="88" priority="252">
      <formula>$D$28=$BB$24</formula>
    </cfRule>
  </conditionalFormatting>
  <conditionalFormatting sqref="P32:S32">
    <cfRule type="expression" dxfId="87" priority="254">
      <formula>$D$26=$BC$37</formula>
    </cfRule>
  </conditionalFormatting>
  <conditionalFormatting sqref="V33:X35">
    <cfRule type="expression" dxfId="86" priority="263">
      <formula>$W$40&gt;=0</formula>
    </cfRule>
  </conditionalFormatting>
  <conditionalFormatting sqref="B11:D11">
    <cfRule type="expression" dxfId="85" priority="3">
      <formula>$D$7="Diesel"</formula>
    </cfRule>
  </conditionalFormatting>
  <conditionalFormatting sqref="P43">
    <cfRule type="cellIs" dxfId="84" priority="2" operator="lessThan">
      <formula>0</formula>
    </cfRule>
  </conditionalFormatting>
  <conditionalFormatting sqref="D33:E33">
    <cfRule type="expression" dxfId="83" priority="268">
      <formula>$D$7=$AZ$32</formula>
    </cfRule>
  </conditionalFormatting>
  <conditionalFormatting sqref="D34:E34">
    <cfRule type="expression" dxfId="82" priority="269">
      <formula>$D$7=$AZ$33</formula>
    </cfRule>
  </conditionalFormatting>
  <conditionalFormatting sqref="E26">
    <cfRule type="expression" dxfId="81" priority="270">
      <formula>$D$26=$BC$37</formula>
    </cfRule>
  </conditionalFormatting>
  <conditionalFormatting sqref="G30:H30">
    <cfRule type="expression" dxfId="80" priority="271">
      <formula>NOT($D$35&lt;$AR$48)</formula>
    </cfRule>
    <cfRule type="expression" dxfId="79" priority="1">
      <formula>$D$35&gt;$AR$49</formula>
    </cfRule>
  </conditionalFormatting>
  <conditionalFormatting sqref="G33:H33">
    <cfRule type="expression" dxfId="78" priority="272">
      <formula>$D$36=$AZ$43</formula>
    </cfRule>
  </conditionalFormatting>
  <dataValidations count="7">
    <dataValidation allowBlank="1" showInputMessage="1" showErrorMessage="1" sqref="I20 I24 K27:L27" xr:uid="{CD07C3B1-D6AA-4CB1-94BA-696964FDE7AD}"/>
    <dataValidation type="list" allowBlank="1" showInputMessage="1" showErrorMessage="1" sqref="AT23 K23:L23 M20 AT25 AO32 H28 AX58 X38:X39 Q7 N11 T7 AP22 R38:R39 T38:T39" xr:uid="{357F149C-58AB-4E84-91A3-DF8D5EEB7857}">
      <formula1>$AZ$27:$AZ$30</formula1>
    </dataValidation>
    <dataValidation type="list" allowBlank="1" showInputMessage="1" showErrorMessage="1" sqref="D7" xr:uid="{26C47E72-3EEB-4B6A-834D-3C941C4E593F}">
      <formula1>$AZ$32:$AZ$33</formula1>
    </dataValidation>
    <dataValidation type="list" allowBlank="1" showInputMessage="1" showErrorMessage="1" sqref="G21:H21 F24 E26" xr:uid="{667C7E2F-2289-4A06-9238-C081D1374F82}">
      <formula1>$AZ$24:$AZ$25</formula1>
    </dataValidation>
    <dataValidation type="decimal" operator="greaterThan" allowBlank="1" showInputMessage="1" showErrorMessage="1" sqref="D13 D21 L20 S7 M11:N11 P7" xr:uid="{C3E7A3F2-36DD-4ABE-82D5-C1E924628409}">
      <formula1>0</formula1>
    </dataValidation>
    <dataValidation type="list" allowBlank="1" showInputMessage="1" showErrorMessage="1" sqref="D28" xr:uid="{ECAEE31B-F322-40E8-B651-F7BC2DC1CE99}">
      <formula1>$BB$23:$BB$24</formula1>
    </dataValidation>
    <dataValidation type="list" allowBlank="1" showInputMessage="1" showErrorMessage="1" sqref="D36" xr:uid="{39AD224E-AC54-4EBB-AC97-114FEEE5BDFC}">
      <formula1>$AZ$43:$AZ$45</formula1>
    </dataValidation>
  </dataValidations>
  <pageMargins left="0.7" right="0.7" top="0.75" bottom="0.75" header="0.3" footer="0.3"/>
  <pageSetup paperSize="8" orientation="landscape" r:id="rId1"/>
  <headerFooter>
    <oddHeader>&amp;C&amp;"Calibri"&amp;12&amp;K000000UNOFFICIAL&amp;1#_x000D_&amp;"Calibri"&amp;11&amp;K000000Prototype</oddHeader>
    <oddFooter>&amp;C&amp;1#&amp;"Calibri"&amp;12&amp;K000000UNOFFICIAL</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ntainsText" priority="116" operator="containsText" id="{080BF6E5-5B71-4A49-B33B-AAA2459DD62F}">
            <xm:f>NOT(ISERROR(SEARCH($AS$45,N38)))</xm:f>
            <xm:f>$AS$45</xm:f>
            <x14:dxf>
              <font>
                <color rgb="FF9C5700"/>
              </font>
              <fill>
                <patternFill>
                  <bgColor rgb="FFFFEB9C"/>
                </patternFill>
              </fill>
            </x14:dxf>
          </x14:cfRule>
          <x14:cfRule type="containsText" priority="117" operator="containsText" id="{0472236F-0332-4E1E-B834-C6A34A42505F}">
            <xm:f>NOT(ISERROR(SEARCH($AS$44,N38)))</xm:f>
            <xm:f>$AS$44</xm:f>
            <x14:dxf>
              <font>
                <color rgb="FF006100"/>
              </font>
              <fill>
                <patternFill>
                  <bgColor rgb="FFC6EFCE"/>
                </patternFill>
              </fill>
            </x14:dxf>
          </x14:cfRule>
          <x14:cfRule type="containsText" priority="118" operator="containsText" id="{2920EAF1-AC1D-46F5-9699-94329F21A337}">
            <xm:f>NOT(ISERROR(SEARCH($AS$43,N38)))</xm:f>
            <xm:f>$AS$43</xm:f>
            <x14:dxf>
              <font>
                <color rgb="FF006100"/>
              </font>
              <fill>
                <patternFill>
                  <bgColor rgb="FFC6EFCE"/>
                </patternFill>
              </fill>
            </x14:dxf>
          </x14:cfRule>
          <x14:cfRule type="containsText" priority="119" operator="containsText" id="{FC4E7CD9-44A5-49F0-B12C-F67A985E03B8}">
            <xm:f>NOT(ISERROR(SEARCH($AS$42,N38)))</xm:f>
            <xm:f>$AS$42</xm:f>
            <x14:dxf>
              <font>
                <color rgb="FF9C0006"/>
              </font>
              <fill>
                <patternFill>
                  <bgColor rgb="FFFFC7CE"/>
                </patternFill>
              </fill>
            </x14:dxf>
          </x14:cfRule>
          <xm:sqref>N38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BA0D182-F620-47E3-8735-E0B1651EFD2E}">
          <x14:formula1>
            <xm:f>Endguns!$L$4:$L$25</xm:f>
          </x14:formula1>
          <xm:sqref>D26</xm:sqref>
        </x14:dataValidation>
        <x14:dataValidation type="list" allowBlank="1" showInputMessage="1" showErrorMessage="1" xr:uid="{0ED89CFB-546C-4E5C-91C3-FCDEE6EEB9DC}">
          <x14:formula1>
            <xm:f>INDIRECT(Endguns!$L$1)</xm:f>
          </x14:formula1>
          <xm:sqref>D27</xm:sqref>
        </x14:dataValidation>
      </x14:dataValidations>
    </ext>
    <ext xmlns:x15="http://schemas.microsoft.com/office/spreadsheetml/2010/11/main" uri="{F7C9EE02-42E1-4005-9D12-6889AFFD525C}">
      <x15:webExtensions xmlns:xm="http://schemas.microsoft.com/office/excel/2006/main">
        <x15:webExtension appRef="{E95100BE-5C73-4F06-9EDB-F4F2E0E45D8B}">
          <xm:f>'STEP 2 Detailed analysis'!1:1048576</xm:f>
        </x15:webExtension>
        <x15:webExtension appRef="{8C747CA2-4A23-4A38-A70C-DD2E2B3AC786}">
          <xm:f>'STEP 2 Detailed analysis'!#REF!</xm:f>
        </x15:webExtension>
      </x15:webExtens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09C80-700C-4C34-AC8D-FBC60D915135}">
  <sheetPr>
    <tabColor rgb="FF92D050"/>
  </sheetPr>
  <dimension ref="B1:AE47"/>
  <sheetViews>
    <sheetView showGridLines="0" zoomScale="85" zoomScaleNormal="85" workbookViewId="0">
      <selection activeCell="S13" sqref="S13"/>
    </sheetView>
  </sheetViews>
  <sheetFormatPr defaultRowHeight="15" x14ac:dyDescent="0.25"/>
  <cols>
    <col min="1" max="1" width="0.7109375" style="1" customWidth="1"/>
    <col min="2" max="2" width="11.42578125" style="1" customWidth="1"/>
    <col min="3" max="3" width="8.85546875" style="1" customWidth="1"/>
    <col min="4" max="4" width="12" style="1" customWidth="1"/>
    <col min="5" max="5" width="12.5703125" style="1" customWidth="1"/>
    <col min="6" max="6" width="2.140625" style="1" customWidth="1"/>
    <col min="7" max="7" width="12.85546875" style="1" customWidth="1"/>
    <col min="8" max="8" width="2.7109375" style="1" customWidth="1"/>
    <col min="9" max="9" width="5.42578125" style="1" customWidth="1"/>
    <col min="10" max="10" width="2.140625" style="1" customWidth="1"/>
    <col min="11" max="11" width="9.7109375" style="1" customWidth="1"/>
    <col min="12" max="12" width="9.140625" style="1" customWidth="1"/>
    <col min="13" max="13" width="7" style="1" customWidth="1"/>
    <col min="14" max="14" width="2.140625" style="1" customWidth="1"/>
    <col min="15" max="15" width="7.85546875" style="1" customWidth="1"/>
    <col min="16" max="16" width="8.85546875" style="1" customWidth="1"/>
    <col min="17" max="17" width="4.85546875" style="1" customWidth="1"/>
    <col min="18" max="18" width="7.140625" style="1" customWidth="1"/>
    <col min="19" max="19" width="2.140625" style="1" customWidth="1"/>
    <col min="20" max="20" width="6.5703125" style="1" customWidth="1"/>
    <col min="21" max="21" width="2.140625" style="1" customWidth="1"/>
    <col min="22" max="22" width="1.5703125" style="1" customWidth="1"/>
    <col min="23" max="23" width="8.85546875" style="1" customWidth="1"/>
    <col min="24" max="24" width="6.140625" style="1" customWidth="1"/>
    <col min="25" max="25" width="8.85546875" style="1" customWidth="1"/>
    <col min="26" max="26" width="9.28515625" style="1" customWidth="1"/>
    <col min="27" max="28" width="2.140625" style="1" customWidth="1"/>
    <col min="29" max="29" width="14" style="1" customWidth="1"/>
    <col min="30" max="30" width="10.28515625" style="1" customWidth="1"/>
    <col min="31" max="31" width="9.5703125" style="1" bestFit="1" customWidth="1"/>
    <col min="32" max="32" width="107.140625" style="1" customWidth="1"/>
    <col min="33" max="16384" width="9.140625" style="1"/>
  </cols>
  <sheetData>
    <row r="1" spans="2:31" ht="3.75" customHeight="1" x14ac:dyDescent="0.25"/>
    <row r="2" spans="2:31" ht="25.5" customHeight="1" x14ac:dyDescent="0.25">
      <c r="B2" s="388" t="s">
        <v>456</v>
      </c>
      <c r="C2" s="389"/>
      <c r="D2" s="390" t="s">
        <v>547</v>
      </c>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2"/>
    </row>
    <row r="3" spans="2:31" ht="3.75" customHeight="1" x14ac:dyDescent="0.25"/>
    <row r="4" spans="2:31" ht="15.75" x14ac:dyDescent="0.25">
      <c r="B4" s="130" t="str">
        <f>'STEP 2 Detailed analysis'!B6</f>
        <v>Energy input</v>
      </c>
      <c r="C4" s="135"/>
      <c r="D4" s="90"/>
      <c r="E4" s="91"/>
      <c r="Q4" s="41"/>
      <c r="R4" s="42" t="str">
        <f>'STEP 2 Detailed analysis'!P6</f>
        <v>Regulator rating</v>
      </c>
      <c r="S4" s="43"/>
      <c r="T4" s="252"/>
      <c r="U4" s="41"/>
      <c r="V4" s="41"/>
      <c r="W4" s="41"/>
      <c r="Y4" s="42" t="str">
        <f>'STEP 2 Detailed analysis'!S6</f>
        <v>Residual pressure</v>
      </c>
      <c r="Z4" s="43"/>
      <c r="AB4" s="41"/>
      <c r="AC4" s="41"/>
    </row>
    <row r="5" spans="2:31" x14ac:dyDescent="0.25">
      <c r="B5" s="132" t="str">
        <f>'STEP 2 Detailed analysis'!B7</f>
        <v>Energy source</v>
      </c>
      <c r="C5" s="136"/>
      <c r="D5" s="170" t="str">
        <f>'STEP 2 Detailed analysis'!D7</f>
        <v>Electricity</v>
      </c>
      <c r="E5" s="178"/>
      <c r="Q5" s="37"/>
      <c r="R5" s="226">
        <f>'STEP 2 Detailed analysis'!P7</f>
        <v>10</v>
      </c>
      <c r="S5" s="176" t="str">
        <f>'STEP 2 Detailed analysis'!Q7</f>
        <v>PSI</v>
      </c>
      <c r="T5" s="241"/>
      <c r="U5" s="37"/>
      <c r="V5" s="37"/>
      <c r="W5" s="37"/>
      <c r="Y5" s="226">
        <f>'STEP 2 Detailed analysis'!S7</f>
        <v>15</v>
      </c>
      <c r="Z5" s="176" t="str">
        <f>'STEP 2 Detailed analysis'!T7</f>
        <v>PSI</v>
      </c>
      <c r="AB5" s="37"/>
      <c r="AC5" s="37"/>
    </row>
    <row r="6" spans="2:31" x14ac:dyDescent="0.25">
      <c r="B6" s="131" t="str">
        <f>'STEP 2 Detailed analysis'!B8</f>
        <v>Start</v>
      </c>
      <c r="C6" s="137"/>
      <c r="D6" s="171">
        <f>'STEP 2 Detailed analysis'!D8</f>
        <v>3065.7</v>
      </c>
      <c r="E6" s="92" t="str">
        <f>'STEP 2 Detailed analysis'!E8</f>
        <v>kWh</v>
      </c>
      <c r="Q6" s="37"/>
      <c r="R6" s="37"/>
      <c r="S6" s="37"/>
      <c r="T6" s="40"/>
      <c r="U6" s="37"/>
      <c r="V6" s="37"/>
      <c r="W6" s="37"/>
      <c r="X6" s="37"/>
      <c r="Y6" s="40"/>
      <c r="Z6" s="45"/>
      <c r="AA6" s="45"/>
      <c r="AB6" s="45"/>
      <c r="AC6" s="45"/>
    </row>
    <row r="7" spans="2:31" x14ac:dyDescent="0.25">
      <c r="B7" s="131" t="str">
        <f>'STEP 2 Detailed analysis'!B9</f>
        <v>End</v>
      </c>
      <c r="C7" s="137"/>
      <c r="D7" s="171">
        <f>'STEP 2 Detailed analysis'!D9</f>
        <v>3086.5</v>
      </c>
      <c r="E7" s="92" t="str">
        <f>'STEP 2 Detailed analysis'!E9</f>
        <v>kWh</v>
      </c>
      <c r="G7" s="35"/>
      <c r="H7" s="35"/>
      <c r="I7" s="35"/>
      <c r="Q7" s="37"/>
      <c r="R7" s="37"/>
      <c r="S7" s="37"/>
      <c r="T7" s="40"/>
      <c r="U7" s="40"/>
      <c r="V7" s="40"/>
      <c r="W7" s="40"/>
      <c r="X7" s="40"/>
      <c r="Y7" s="40"/>
      <c r="Z7" s="45"/>
      <c r="AA7" s="45"/>
      <c r="AB7" s="45"/>
      <c r="AC7" s="45"/>
    </row>
    <row r="8" spans="2:31" x14ac:dyDescent="0.25">
      <c r="B8" s="131" t="str">
        <f>'STEP 2 Detailed analysis'!B10</f>
        <v>Duration</v>
      </c>
      <c r="C8" s="137"/>
      <c r="D8" s="171">
        <f>'STEP 2 Detailed analysis'!D10</f>
        <v>1268</v>
      </c>
      <c r="E8" s="92" t="str">
        <f>'STEP 2 Detailed analysis'!E10</f>
        <v>minutes</v>
      </c>
      <c r="G8" s="35"/>
      <c r="H8" s="35"/>
      <c r="I8" s="35"/>
      <c r="P8" s="35"/>
      <c r="Q8" s="37"/>
      <c r="R8" s="37"/>
      <c r="S8" s="40"/>
      <c r="T8" s="40"/>
      <c r="U8" s="40"/>
      <c r="V8" s="40"/>
      <c r="W8" s="40"/>
      <c r="X8" s="40"/>
      <c r="Y8" s="40"/>
      <c r="Z8" s="45"/>
      <c r="AA8" s="45"/>
      <c r="AB8" s="45"/>
      <c r="AC8" s="45"/>
    </row>
    <row r="9" spans="2:31" x14ac:dyDescent="0.25">
      <c r="B9" s="131" t="str">
        <f>'STEP 2 Detailed analysis'!B12</f>
        <v>Energy consumption</v>
      </c>
      <c r="C9" s="137"/>
      <c r="D9" s="254">
        <f>'STEP 2 Detailed analysis'!D12</f>
        <v>39.369085173501922</v>
      </c>
      <c r="E9" s="92" t="str">
        <f>'STEP 2 Detailed analysis'!E12</f>
        <v>kW</v>
      </c>
      <c r="G9" s="35"/>
      <c r="H9" s="35"/>
      <c r="I9" s="35"/>
      <c r="J9" s="35"/>
      <c r="K9" s="35"/>
      <c r="O9" s="42" t="str">
        <f>'STEP 2 Detailed analysis'!M10</f>
        <v>Pivot base pressure</v>
      </c>
      <c r="P9" s="154"/>
      <c r="Q9" s="252"/>
      <c r="R9" s="37"/>
      <c r="S9" s="103"/>
      <c r="T9" s="103"/>
      <c r="U9" s="103"/>
      <c r="V9" s="103"/>
      <c r="W9" s="103"/>
      <c r="X9" s="40"/>
      <c r="Y9" s="40"/>
      <c r="Z9" s="45"/>
      <c r="AA9" s="45"/>
      <c r="AB9" s="45"/>
      <c r="AC9" s="45"/>
    </row>
    <row r="10" spans="2:31" x14ac:dyDescent="0.25">
      <c r="B10" s="133" t="str">
        <f>'STEP 2 Detailed analysis'!B13</f>
        <v>Energy unit cost</v>
      </c>
      <c r="C10" s="138"/>
      <c r="D10" s="172">
        <f>'STEP 2 Detailed analysis'!D13</f>
        <v>0.25</v>
      </c>
      <c r="E10" s="93" t="str">
        <f>'STEP 2 Detailed analysis'!E13</f>
        <v>/kWh</v>
      </c>
      <c r="I10" s="35"/>
      <c r="J10" s="35"/>
      <c r="K10" s="35"/>
      <c r="O10" s="226">
        <f>'STEP 2 Detailed analysis'!M11</f>
        <v>30</v>
      </c>
      <c r="P10" s="227" t="str">
        <f>'STEP 2 Detailed analysis'!N11</f>
        <v>PSI</v>
      </c>
      <c r="Q10" s="241"/>
      <c r="R10" s="37"/>
      <c r="S10" s="103"/>
      <c r="T10" s="103"/>
      <c r="U10" s="103"/>
      <c r="V10" s="103"/>
      <c r="W10" s="103"/>
      <c r="X10" s="40"/>
      <c r="Y10" s="40"/>
      <c r="Z10" s="45"/>
      <c r="AA10" s="45"/>
      <c r="AB10" s="45"/>
      <c r="AC10" s="45"/>
    </row>
    <row r="11" spans="2:31" ht="15.75" x14ac:dyDescent="0.25">
      <c r="B11" s="127" t="s">
        <v>559</v>
      </c>
      <c r="C11" s="128"/>
      <c r="D11" s="88"/>
      <c r="E11" s="245"/>
      <c r="I11" s="35"/>
      <c r="J11" s="35"/>
      <c r="K11" s="35"/>
      <c r="L11" s="40"/>
      <c r="M11" s="40"/>
      <c r="O11" s="40"/>
      <c r="P11" s="40"/>
      <c r="Q11" s="40"/>
      <c r="R11" s="40"/>
      <c r="S11" s="40"/>
      <c r="T11" s="40"/>
      <c r="U11" s="40"/>
      <c r="V11" s="40"/>
      <c r="W11" s="40"/>
      <c r="X11" s="40"/>
      <c r="Y11" s="40"/>
      <c r="Z11" s="40"/>
      <c r="AA11" s="40"/>
      <c r="AB11" s="40"/>
      <c r="AC11" s="40"/>
    </row>
    <row r="12" spans="2:31" x14ac:dyDescent="0.25">
      <c r="B12" s="131" t="s">
        <v>554</v>
      </c>
      <c r="C12" s="137"/>
      <c r="D12" s="340">
        <f>'STEP 2 Detailed analysis'!AW27</f>
        <v>125.98107255520615</v>
      </c>
      <c r="E12" s="178" t="str">
        <f>'STEP 2 Detailed analysis'!AX27</f>
        <v>kWh/ML</v>
      </c>
      <c r="I12" s="35"/>
      <c r="J12" s="35"/>
      <c r="M12" s="35"/>
      <c r="O12" s="35"/>
      <c r="P12" s="35"/>
      <c r="Q12" s="37"/>
      <c r="R12" s="37"/>
      <c r="S12" s="40"/>
      <c r="T12" s="40"/>
      <c r="U12" s="40"/>
      <c r="V12" s="40"/>
      <c r="W12" s="40"/>
      <c r="X12" s="40"/>
      <c r="Y12" s="40"/>
      <c r="Z12" s="40"/>
      <c r="AA12" s="40"/>
      <c r="AB12" s="40"/>
      <c r="AC12" s="40"/>
    </row>
    <row r="13" spans="2:31" x14ac:dyDescent="0.25">
      <c r="B13" s="131" t="s">
        <v>545</v>
      </c>
      <c r="C13" s="137"/>
      <c r="D13" s="244">
        <f>'STEP 2 Detailed analysis'!AX18</f>
        <v>49702.027296844673</v>
      </c>
      <c r="E13" s="92" t="str">
        <f>VLOOKUP(D5,'STEP 2 Detailed analysis'!AZ32:BE33,6,FALSE)</f>
        <v>kWh/year</v>
      </c>
      <c r="H13" s="42" t="str">
        <f>'STEP 2 Detailed analysis'!H13</f>
        <v>Lift above pivot base</v>
      </c>
      <c r="I13" s="154"/>
      <c r="J13" s="154"/>
      <c r="K13" s="43"/>
      <c r="M13" s="35"/>
      <c r="O13" s="35"/>
      <c r="P13" s="35"/>
      <c r="Q13" s="37"/>
      <c r="R13" s="37"/>
      <c r="S13" s="37"/>
      <c r="T13" s="41"/>
      <c r="U13" s="48"/>
      <c r="V13" s="48"/>
      <c r="W13" s="48"/>
      <c r="X13" s="40"/>
      <c r="Y13" s="40"/>
      <c r="Z13" s="40"/>
      <c r="AA13" s="40"/>
      <c r="AB13" s="40"/>
      <c r="AC13" s="40"/>
    </row>
    <row r="14" spans="2:31" x14ac:dyDescent="0.25">
      <c r="B14" s="131" t="s">
        <v>3</v>
      </c>
      <c r="C14" s="137"/>
      <c r="D14" s="242">
        <f>'STEP 2 Detailed analysis'!AY18</f>
        <v>31.495268138801535</v>
      </c>
      <c r="E14" s="92" t="s">
        <v>336</v>
      </c>
      <c r="H14" s="393">
        <f>'STEP 2 Detailed analysis'!H14</f>
        <v>1.5</v>
      </c>
      <c r="I14" s="394"/>
      <c r="J14" s="394"/>
      <c r="K14" s="179" t="str">
        <f>'STEP 2 Detailed analysis'!I14</f>
        <v>m</v>
      </c>
      <c r="M14" s="35"/>
      <c r="O14" s="35"/>
      <c r="P14" s="35"/>
      <c r="Q14" s="37"/>
      <c r="R14" s="37"/>
      <c r="S14" s="37"/>
      <c r="T14" s="41"/>
      <c r="U14" s="50"/>
      <c r="V14" s="50"/>
      <c r="W14" s="50"/>
      <c r="X14" s="40"/>
      <c r="Y14" s="40"/>
      <c r="Z14" s="40"/>
      <c r="AA14" s="40"/>
      <c r="AB14" s="40"/>
      <c r="AC14" s="40"/>
    </row>
    <row r="15" spans="2:31" x14ac:dyDescent="0.25">
      <c r="B15" s="133" t="s">
        <v>546</v>
      </c>
      <c r="C15" s="138"/>
      <c r="D15" s="243">
        <f>'STEP 2 Detailed analysis'!AZ18</f>
        <v>12425.506824211168</v>
      </c>
      <c r="E15" s="93" t="s">
        <v>340</v>
      </c>
      <c r="J15" s="40"/>
      <c r="L15" s="40"/>
      <c r="M15" s="40"/>
      <c r="O15" s="40"/>
      <c r="P15" s="40"/>
      <c r="Q15" s="40"/>
      <c r="R15" s="40"/>
      <c r="S15" s="40"/>
      <c r="T15" s="40"/>
      <c r="U15" s="40"/>
      <c r="V15" s="40"/>
      <c r="W15" s="40"/>
      <c r="X15" s="40"/>
      <c r="Y15" s="40"/>
      <c r="Z15" s="40"/>
      <c r="AA15" s="40"/>
      <c r="AB15" s="40"/>
      <c r="AC15" s="40"/>
    </row>
    <row r="16" spans="2:31" x14ac:dyDescent="0.25">
      <c r="J16" s="40"/>
      <c r="L16" s="40"/>
      <c r="M16" s="40"/>
      <c r="O16" s="40"/>
      <c r="P16" s="40"/>
      <c r="Q16" s="40"/>
      <c r="R16" s="40"/>
      <c r="S16" s="40"/>
      <c r="T16" s="40"/>
      <c r="U16" s="40"/>
      <c r="V16" s="40"/>
      <c r="W16" s="40"/>
      <c r="X16" s="40"/>
      <c r="Y16" s="40"/>
      <c r="Z16" s="40"/>
      <c r="AA16" s="40"/>
      <c r="AB16" s="40"/>
      <c r="AC16" s="40"/>
    </row>
    <row r="17" spans="2:31" ht="15.75" x14ac:dyDescent="0.25">
      <c r="B17" s="127" t="str">
        <f>'STEP 2 Detailed analysis'!B15</f>
        <v>Water use</v>
      </c>
      <c r="C17" s="128"/>
      <c r="D17" s="88"/>
      <c r="E17" s="91"/>
      <c r="J17" s="35"/>
      <c r="M17" s="35"/>
      <c r="O17" s="35"/>
      <c r="P17" s="35"/>
      <c r="Q17" s="41"/>
      <c r="R17" s="41"/>
      <c r="S17" s="40"/>
      <c r="T17" s="40"/>
      <c r="U17" s="40"/>
      <c r="V17" s="40"/>
      <c r="W17" s="40"/>
      <c r="X17" s="40"/>
      <c r="Y17" s="40"/>
      <c r="Z17" s="40"/>
      <c r="AA17" s="40"/>
      <c r="AB17" s="40"/>
      <c r="AC17" s="40"/>
    </row>
    <row r="18" spans="2:31" x14ac:dyDescent="0.25">
      <c r="B18" s="131" t="str">
        <f>'STEP 2 Detailed analysis'!B16</f>
        <v>Start</v>
      </c>
      <c r="C18" s="137"/>
      <c r="D18" s="173">
        <f>'STEP 2 Detailed analysis'!D16</f>
        <v>0</v>
      </c>
      <c r="E18" s="178" t="str">
        <f>'STEP 2 Detailed analysis'!E16</f>
        <v>kL</v>
      </c>
      <c r="J18" s="35"/>
      <c r="M18" s="35"/>
      <c r="Q18" s="41"/>
      <c r="R18" s="41"/>
      <c r="S18" s="40"/>
      <c r="T18" s="40"/>
      <c r="U18" s="40"/>
      <c r="V18" s="40"/>
      <c r="W18" s="40"/>
      <c r="X18" s="40"/>
      <c r="Y18" s="40"/>
      <c r="Z18" s="40"/>
      <c r="AA18" s="40"/>
      <c r="AB18" s="40"/>
      <c r="AC18" s="40"/>
    </row>
    <row r="19" spans="2:31" x14ac:dyDescent="0.25">
      <c r="B19" s="131" t="str">
        <f>'STEP 2 Detailed analysis'!B17</f>
        <v>End</v>
      </c>
      <c r="C19" s="137"/>
      <c r="D19" s="173">
        <f>'STEP 2 Detailed analysis'!D17</f>
        <v>0</v>
      </c>
      <c r="E19" s="92" t="str">
        <f>'STEP 2 Detailed analysis'!E17</f>
        <v>kL</v>
      </c>
      <c r="I19" s="42" t="str">
        <f>'STEP 2 Detailed analysis'!H19</f>
        <v>Lift to pivot base</v>
      </c>
      <c r="J19" s="154"/>
      <c r="K19" s="43"/>
      <c r="M19" s="42" t="str">
        <f>'STEP 2 Detailed analysis'!L19</f>
        <v>Delivery line pressure</v>
      </c>
      <c r="N19" s="154"/>
      <c r="O19" s="154"/>
      <c r="P19" s="43"/>
      <c r="V19" s="379" t="str">
        <f>'STEP 2 Detailed analysis'!Q23</f>
        <v>Warning: There is a pressure gain in the pivot. Check pressure measurements, units, and lift from pivot base to end of pivot.</v>
      </c>
      <c r="W19" s="379"/>
      <c r="X19" s="379"/>
      <c r="Y19" s="379"/>
      <c r="Z19" s="379"/>
      <c r="AA19" s="379"/>
    </row>
    <row r="20" spans="2:31" ht="15" customHeight="1" x14ac:dyDescent="0.25">
      <c r="B20" s="131" t="str">
        <f>'STEP 2 Detailed analysis'!B18</f>
        <v>Duration</v>
      </c>
      <c r="C20" s="137"/>
      <c r="D20" s="173">
        <f>'STEP 2 Detailed analysis'!D18</f>
        <v>0</v>
      </c>
      <c r="E20" s="92" t="str">
        <f>'STEP 2 Detailed analysis'!E18</f>
        <v>minutes</v>
      </c>
      <c r="I20" s="393">
        <f>'STEP 2 Detailed analysis'!H20</f>
        <v>0.5</v>
      </c>
      <c r="J20" s="394"/>
      <c r="K20" s="179" t="str">
        <f>'STEP 2 Detailed analysis'!I20</f>
        <v>m</v>
      </c>
      <c r="M20" s="393">
        <f>'STEP 2 Detailed analysis'!L20</f>
        <v>38</v>
      </c>
      <c r="N20" s="394"/>
      <c r="O20" s="227" t="str">
        <f>'STEP 2 Detailed analysis'!M20</f>
        <v>PSI</v>
      </c>
      <c r="P20" s="241"/>
      <c r="V20" s="379"/>
      <c r="W20" s="379"/>
      <c r="X20" s="379"/>
      <c r="Y20" s="379"/>
      <c r="Z20" s="379"/>
      <c r="AA20" s="379"/>
      <c r="AC20" s="379" t="str">
        <f>'STEP 2 Detailed analysis'!V25</f>
        <v>Warning: Endgun pressure outside of data range. Throw distance may be inaccurate.  Endgun data range is 15 to 30 PSI.</v>
      </c>
      <c r="AD20" s="379"/>
      <c r="AE20" s="379"/>
    </row>
    <row r="21" spans="2:31" ht="15" customHeight="1" x14ac:dyDescent="0.25">
      <c r="B21" s="131" t="str">
        <f>'STEP 2 Detailed analysis'!B19</f>
        <v>Flow rate</v>
      </c>
      <c r="C21" s="137"/>
      <c r="D21" s="121">
        <f>'STEP 2 Detailed analysis'!AW28</f>
        <v>7.5</v>
      </c>
      <c r="E21" s="92" t="str">
        <f>'STEP 2 Detailed analysis'!E19</f>
        <v>ML/day</v>
      </c>
      <c r="M21" s="40"/>
      <c r="O21" s="40"/>
      <c r="V21" s="379"/>
      <c r="W21" s="379"/>
      <c r="X21" s="379"/>
      <c r="Y21" s="379"/>
      <c r="Z21" s="379"/>
      <c r="AA21" s="379"/>
      <c r="AC21" s="379"/>
      <c r="AD21" s="379"/>
      <c r="AE21" s="379"/>
    </row>
    <row r="22" spans="2:31" x14ac:dyDescent="0.25">
      <c r="B22" s="133" t="str">
        <f>'STEP 2 Detailed analysis'!B21</f>
        <v>Crop water use</v>
      </c>
      <c r="C22" s="138"/>
      <c r="D22" s="227">
        <f>'STEP 2 Detailed analysis'!D21</f>
        <v>8</v>
      </c>
      <c r="E22" s="93" t="str">
        <f>'STEP 2 Detailed analysis'!E21</f>
        <v>ML/ha/year</v>
      </c>
      <c r="J22" s="35"/>
      <c r="K22" s="35"/>
      <c r="L22" s="35"/>
      <c r="M22" s="50"/>
      <c r="O22" s="50"/>
      <c r="AC22" s="379"/>
      <c r="AD22" s="379"/>
      <c r="AE22" s="379"/>
    </row>
    <row r="23" spans="2:31" x14ac:dyDescent="0.25">
      <c r="B23" s="51"/>
      <c r="C23" s="51"/>
      <c r="D23" s="40"/>
      <c r="E23" s="40"/>
      <c r="J23" s="41"/>
      <c r="K23" s="41"/>
      <c r="L23" s="41"/>
      <c r="M23" s="50"/>
      <c r="O23" s="50"/>
    </row>
    <row r="24" spans="2:31" ht="15.75" x14ac:dyDescent="0.25">
      <c r="B24" s="130" t="str">
        <f>'STEP 2 Detailed analysis'!B23</f>
        <v>Pivot details</v>
      </c>
      <c r="C24" s="135"/>
      <c r="D24" s="90"/>
      <c r="E24" s="91"/>
      <c r="I24" s="42" t="str">
        <f>'STEP 2 Detailed analysis'!H23</f>
        <v>Suction lift</v>
      </c>
      <c r="J24" s="154"/>
      <c r="K24" s="43"/>
      <c r="M24" s="50"/>
      <c r="O24" s="50"/>
    </row>
    <row r="25" spans="2:31" x14ac:dyDescent="0.25">
      <c r="B25" s="132" t="str">
        <f>'STEP 2 Detailed analysis'!B24</f>
        <v>Circle portion</v>
      </c>
      <c r="C25" s="136"/>
      <c r="D25" s="235">
        <f>'STEP 2 Detailed analysis'!D24</f>
        <v>360</v>
      </c>
      <c r="E25" s="145" t="str">
        <f>'STEP 2 Detailed analysis'!E24</f>
        <v>degrees</v>
      </c>
      <c r="I25" s="393">
        <f>'STEP 2 Detailed analysis'!H24</f>
        <v>1</v>
      </c>
      <c r="J25" s="394"/>
      <c r="K25" s="179" t="str">
        <f>'STEP 2 Detailed analysis'!I24</f>
        <v>m</v>
      </c>
      <c r="M25" s="50"/>
      <c r="O25" s="50"/>
    </row>
    <row r="26" spans="2:31" ht="15" customHeight="1" x14ac:dyDescent="0.25">
      <c r="B26" s="131" t="str">
        <f>'STEP 2 Detailed analysis'!B25</f>
        <v>Pivot boom length</v>
      </c>
      <c r="C26" s="137"/>
      <c r="D26" s="230">
        <f>'STEP 2 Detailed analysis'!D25</f>
        <v>384</v>
      </c>
      <c r="E26" s="92" t="str">
        <f>'STEP 2 Detailed analysis'!E25</f>
        <v>m</v>
      </c>
      <c r="G26" s="35"/>
      <c r="H26" s="35"/>
      <c r="I26" s="50"/>
      <c r="J26" s="50"/>
      <c r="K26" s="50"/>
      <c r="L26" s="50"/>
      <c r="M26" s="50"/>
      <c r="O26" s="50"/>
    </row>
    <row r="27" spans="2:31" x14ac:dyDescent="0.25">
      <c r="B27" s="131" t="str">
        <f>'STEP 2 Detailed analysis'!B26</f>
        <v>End gun</v>
      </c>
      <c r="C27" s="137"/>
      <c r="D27" s="173" t="str">
        <f>'STEP 2 Detailed analysis'!D26</f>
        <v>R55A</v>
      </c>
      <c r="E27" s="177" t="str">
        <f>'STEP 2 Detailed analysis'!E26</f>
        <v>no booster</v>
      </c>
      <c r="G27" s="42" t="str">
        <f>'STEP 2 Detailed analysis'!G27</f>
        <v>Suction friction loss</v>
      </c>
      <c r="H27" s="154"/>
      <c r="I27" s="43"/>
      <c r="K27" s="50"/>
      <c r="L27" s="50"/>
      <c r="M27" s="50"/>
      <c r="O27" s="50"/>
    </row>
    <row r="28" spans="2:31" ht="15" customHeight="1" x14ac:dyDescent="0.25">
      <c r="B28" s="131" t="str">
        <f>'STEP 2 Detailed analysis'!B27</f>
        <v>End gun nozzle size</v>
      </c>
      <c r="C28" s="137"/>
      <c r="D28" s="173">
        <f>'STEP 2 Detailed analysis'!D27</f>
        <v>0.7</v>
      </c>
      <c r="E28" s="92" t="str">
        <f>'STEP 2 Detailed analysis'!E27</f>
        <v>inches</v>
      </c>
      <c r="G28" s="393">
        <f>'STEP 2 Detailed analysis'!G28</f>
        <v>1</v>
      </c>
      <c r="H28" s="394"/>
      <c r="I28" s="176" t="str">
        <f>'STEP 2 Detailed analysis'!H28</f>
        <v>m</v>
      </c>
      <c r="K28" s="50"/>
      <c r="O28" s="379" t="str">
        <f>'STEP 2 Detailed analysis'!L31</f>
        <v>Warning: Delivery line head loss is excessive. If your delivery line is longer than the pivot length plus 20 m, potential savings may be lower than estimated.</v>
      </c>
      <c r="P28" s="379"/>
      <c r="Q28" s="379"/>
      <c r="R28" s="379"/>
      <c r="S28" s="379"/>
      <c r="T28" s="379"/>
      <c r="U28" s="37"/>
      <c r="AB28" s="37"/>
      <c r="AC28" s="37"/>
    </row>
    <row r="29" spans="2:31" x14ac:dyDescent="0.25">
      <c r="B29" s="132" t="str">
        <f>'STEP 2 Detailed analysis'!B28</f>
        <v>Wheel tower drive</v>
      </c>
      <c r="C29" s="136"/>
      <c r="D29" s="386" t="str">
        <f>'STEP 2 Detailed analysis'!D28</f>
        <v>Electric drive</v>
      </c>
      <c r="E29" s="387"/>
      <c r="G29" s="50"/>
      <c r="H29" s="50"/>
      <c r="I29" s="50"/>
      <c r="J29" s="50"/>
      <c r="K29" s="50"/>
      <c r="O29" s="379"/>
      <c r="P29" s="379"/>
      <c r="Q29" s="379"/>
      <c r="R29" s="379"/>
      <c r="S29" s="379"/>
      <c r="T29" s="379"/>
      <c r="U29" s="37"/>
      <c r="V29" s="37"/>
      <c r="W29" s="37"/>
      <c r="X29" s="37"/>
      <c r="Y29" s="37"/>
      <c r="Z29" s="37"/>
      <c r="AB29" s="37"/>
      <c r="AC29" s="37"/>
    </row>
    <row r="30" spans="2:31" x14ac:dyDescent="0.25">
      <c r="B30" s="133" t="str">
        <f>'STEP 2 Detailed analysis'!B29</f>
        <v>Area</v>
      </c>
      <c r="C30" s="138"/>
      <c r="D30" s="106">
        <f>'STEP 2 Detailed analysis'!D29</f>
        <v>49.314974750537175</v>
      </c>
      <c r="E30" s="93" t="str">
        <f>'STEP 2 Detailed analysis'!E29</f>
        <v>ha</v>
      </c>
      <c r="G30" s="50"/>
      <c r="H30" s="50"/>
      <c r="I30" s="40"/>
      <c r="J30" s="40"/>
      <c r="K30" s="40"/>
      <c r="L30" s="40"/>
      <c r="M30" s="35"/>
      <c r="O30" s="379"/>
      <c r="P30" s="379"/>
      <c r="Q30" s="379"/>
      <c r="R30" s="379"/>
      <c r="S30" s="379"/>
      <c r="T30" s="379"/>
      <c r="U30" s="37"/>
      <c r="AB30" s="37"/>
      <c r="AC30" s="37"/>
    </row>
    <row r="31" spans="2:31" x14ac:dyDescent="0.25">
      <c r="B31" s="35"/>
      <c r="C31" s="35"/>
      <c r="D31" s="36"/>
      <c r="E31" s="35"/>
      <c r="G31" s="50"/>
      <c r="H31" s="50"/>
      <c r="I31" s="40"/>
      <c r="J31" s="40"/>
      <c r="K31" s="40"/>
      <c r="L31" s="40"/>
      <c r="M31" s="40"/>
      <c r="O31" s="379"/>
      <c r="P31" s="379"/>
      <c r="Q31" s="379"/>
      <c r="R31" s="379"/>
      <c r="S31" s="379"/>
      <c r="T31" s="379"/>
      <c r="U31" s="37"/>
      <c r="AB31" s="35"/>
      <c r="AC31" s="35"/>
    </row>
    <row r="32" spans="2:31" ht="15" customHeight="1" x14ac:dyDescent="0.25">
      <c r="B32" s="127" t="str">
        <f>'STEP 2 Detailed analysis'!B31</f>
        <v>Motor details</v>
      </c>
      <c r="C32" s="128"/>
      <c r="D32" s="128"/>
      <c r="E32" s="129"/>
      <c r="G32" s="379" t="str">
        <f>'STEP 2 Detailed analysis'!G30</f>
        <v>Motor is running at &gt;50% load. Motor efficiency should be close to rating.</v>
      </c>
      <c r="H32" s="379"/>
      <c r="I32" s="379"/>
      <c r="J32" s="379"/>
      <c r="K32" s="379"/>
      <c r="L32" s="40"/>
      <c r="M32" s="40"/>
      <c r="T32" s="37"/>
      <c r="U32" s="37"/>
      <c r="AB32" s="35"/>
      <c r="AC32" s="35"/>
    </row>
    <row r="33" spans="2:31" x14ac:dyDescent="0.25">
      <c r="B33" s="107" t="str">
        <f>'STEP 2 Detailed analysis'!B32</f>
        <v>Motor size</v>
      </c>
      <c r="C33" s="139"/>
      <c r="D33" s="174">
        <f>'STEP 2 Detailed analysis'!D32</f>
        <v>37</v>
      </c>
      <c r="E33" s="108" t="str">
        <f>'STEP 2 Detailed analysis'!E32</f>
        <v>kW</v>
      </c>
      <c r="G33" s="379"/>
      <c r="H33" s="379"/>
      <c r="I33" s="379"/>
      <c r="J33" s="379"/>
      <c r="K33" s="379"/>
      <c r="L33" s="40"/>
      <c r="M33" s="40"/>
      <c r="T33" s="37"/>
      <c r="U33" s="37"/>
      <c r="V33" s="37"/>
      <c r="W33" s="37"/>
      <c r="X33" s="37"/>
      <c r="Y33" s="37"/>
      <c r="Z33" s="37"/>
      <c r="AB33" s="35"/>
      <c r="AC33" s="35"/>
    </row>
    <row r="34" spans="2:31" ht="15.75" x14ac:dyDescent="0.25">
      <c r="B34" s="131" t="str">
        <f>'STEP 2 Detailed analysis'!B33</f>
        <v xml:space="preserve">Motor efficiency </v>
      </c>
      <c r="C34" s="140"/>
      <c r="D34" s="174">
        <f>'STEP 2 Detailed analysis'!$AW$35</f>
        <v>93.9</v>
      </c>
      <c r="E34" s="109" t="str">
        <f>'STEP 2 Detailed analysis'!E33</f>
        <v>%</v>
      </c>
      <c r="G34" s="379"/>
      <c r="H34" s="379"/>
      <c r="I34" s="379"/>
      <c r="J34" s="379"/>
      <c r="K34" s="379"/>
      <c r="L34" s="40"/>
      <c r="M34" s="40"/>
      <c r="O34" s="127" t="str">
        <f>'STEP 2 Detailed analysis'!AM31</f>
        <v>Pump duty (current)</v>
      </c>
      <c r="P34" s="128"/>
      <c r="Q34" s="128"/>
      <c r="R34" s="128"/>
      <c r="S34" s="404"/>
      <c r="T34" s="405"/>
      <c r="U34" s="37"/>
      <c r="V34" s="127" t="str">
        <f>'STEP 2 Detailed analysis'!P30</f>
        <v>System capacity</v>
      </c>
      <c r="W34" s="128"/>
      <c r="X34" s="128"/>
      <c r="Y34" s="128"/>
      <c r="Z34" s="129"/>
      <c r="AA34"/>
      <c r="AB34" s="35"/>
      <c r="AC34" s="35"/>
    </row>
    <row r="35" spans="2:31" x14ac:dyDescent="0.25">
      <c r="B35" s="111" t="str">
        <f>'STEP 2 Detailed analysis'!B35</f>
        <v>Motor load</v>
      </c>
      <c r="C35" s="142"/>
      <c r="D35" s="112">
        <f>'STEP 2 Detailed analysis'!D35</f>
        <v>97.242759399779217</v>
      </c>
      <c r="E35" s="113" t="str">
        <f>'STEP 2 Detailed analysis'!E35</f>
        <v>%</v>
      </c>
      <c r="G35" s="50"/>
      <c r="H35" s="50"/>
      <c r="I35" s="40"/>
      <c r="J35" s="40"/>
      <c r="K35" s="40"/>
      <c r="L35" s="40"/>
      <c r="M35" s="40"/>
      <c r="O35" s="183" t="str">
        <f>'STEP 2 Detailed analysis'!AM32</f>
        <v>Total dynamic head</v>
      </c>
      <c r="P35" s="336"/>
      <c r="Q35" s="336"/>
      <c r="R35" s="180">
        <f>'STEP 2 Detailed analysis'!AN32</f>
        <v>28.723485366277899</v>
      </c>
      <c r="S35" s="386" t="str">
        <f>'STEP 2 Detailed analysis'!AO32</f>
        <v>m</v>
      </c>
      <c r="T35" s="387"/>
      <c r="U35" s="37"/>
      <c r="V35" s="183" t="str">
        <f>'STEP 2 Detailed analysis'!P31</f>
        <v>Under machine</v>
      </c>
      <c r="W35" s="336"/>
      <c r="X35" s="240"/>
      <c r="Y35" s="229">
        <f>'STEP 2 Detailed analysis'!R31</f>
        <v>15.208362242785705</v>
      </c>
      <c r="Z35" s="178" t="str">
        <f>'STEP 2 Detailed analysis'!S31</f>
        <v>mm/day</v>
      </c>
      <c r="AA35"/>
      <c r="AB35" s="35"/>
      <c r="AC35" s="35"/>
    </row>
    <row r="36" spans="2:31" ht="15" customHeight="1" x14ac:dyDescent="0.25">
      <c r="B36" s="131" t="str">
        <f>'STEP 2 Detailed analysis'!B36</f>
        <v>Drive type</v>
      </c>
      <c r="C36" s="137"/>
      <c r="D36" s="170" t="str">
        <f>'STEP 2 Detailed analysis'!D36</f>
        <v>Direct</v>
      </c>
      <c r="E36" s="92"/>
      <c r="G36" s="383" t="str">
        <f>'STEP 2 Detailed analysis'!G33</f>
        <v>Note: Drive efficiency could be improved if pump and motor are reconfigured as direct drive.</v>
      </c>
      <c r="H36" s="383"/>
      <c r="I36" s="383"/>
      <c r="J36" s="383"/>
      <c r="K36" s="383"/>
      <c r="L36" s="40"/>
      <c r="M36" s="40"/>
      <c r="O36" s="124" t="str">
        <f>'STEP 2 Detailed analysis'!AM33</f>
        <v>Flow rate</v>
      </c>
      <c r="P36" s="232"/>
      <c r="Q36" s="232"/>
      <c r="R36" s="231">
        <f>'STEP 2 Detailed analysis'!AN33</f>
        <v>7.5</v>
      </c>
      <c r="S36" s="406" t="str">
        <f>'STEP 2 Detailed analysis'!AO33</f>
        <v>ML/day</v>
      </c>
      <c r="T36" s="406"/>
      <c r="U36" s="37"/>
      <c r="V36" s="125" t="str">
        <f>'STEP 2 Detailed analysis'!P32</f>
        <v>Endgun</v>
      </c>
      <c r="W36" s="228"/>
      <c r="X36" s="228"/>
      <c r="Y36" s="182">
        <f>'STEP 2 Detailed analysis'!R32</f>
        <v>10.317408683792753</v>
      </c>
      <c r="Z36" s="179" t="str">
        <f>'STEP 2 Detailed analysis'!S32</f>
        <v>mm/day</v>
      </c>
      <c r="AA36"/>
      <c r="AB36" s="399" t="str">
        <f>'STEP 2 Detailed analysis'!V33</f>
        <v>^Note: Total potential savings are reduced because residual pressure should be increased to improve uniformity.</v>
      </c>
      <c r="AC36" s="399"/>
      <c r="AD36" s="399"/>
      <c r="AE36" s="399"/>
    </row>
    <row r="37" spans="2:31" ht="15" customHeight="1" x14ac:dyDescent="0.25">
      <c r="B37" s="133" t="str">
        <f>'STEP 2 Detailed analysis'!B37</f>
        <v>Efficiency</v>
      </c>
      <c r="C37" s="138"/>
      <c r="D37" s="165">
        <f>'STEP 2 Detailed analysis'!D37</f>
        <v>100</v>
      </c>
      <c r="E37" s="93" t="str">
        <f>'STEP 2 Detailed analysis'!E37</f>
        <v>%</v>
      </c>
      <c r="G37" s="383"/>
      <c r="H37" s="383"/>
      <c r="I37" s="383"/>
      <c r="J37" s="383"/>
      <c r="K37" s="383"/>
      <c r="L37" s="40"/>
      <c r="M37" s="40"/>
      <c r="O37" s="125" t="str">
        <f>'STEP 2 Detailed analysis'!AM34</f>
        <v>Power (P2)</v>
      </c>
      <c r="P37" s="228"/>
      <c r="Q37" s="228"/>
      <c r="R37" s="182">
        <f>'STEP 2 Detailed analysis'!AN34</f>
        <v>35.979820977918308</v>
      </c>
      <c r="S37" s="407" t="str">
        <f>'STEP 2 Detailed analysis'!AO34</f>
        <v>kW</v>
      </c>
      <c r="T37" s="408"/>
      <c r="U37" s="37"/>
      <c r="V37" s="396" t="str">
        <f>'STEP 2 Detailed analysis'!P34</f>
        <v>Warning: Endgun system capacity is more than 10 % different to the pivot system capacity.</v>
      </c>
      <c r="W37" s="396"/>
      <c r="X37" s="396"/>
      <c r="Y37" s="396"/>
      <c r="Z37" s="396"/>
      <c r="AA37"/>
      <c r="AB37" s="399"/>
      <c r="AC37" s="399"/>
      <c r="AD37" s="399"/>
      <c r="AE37" s="399"/>
    </row>
    <row r="38" spans="2:31" x14ac:dyDescent="0.25">
      <c r="B38" s="37"/>
      <c r="C38" s="37"/>
      <c r="D38" s="37"/>
      <c r="E38" s="37"/>
      <c r="G38" s="383"/>
      <c r="H38" s="383"/>
      <c r="I38" s="383"/>
      <c r="J38" s="383"/>
      <c r="K38" s="383"/>
      <c r="L38" s="40"/>
      <c r="M38" s="40"/>
      <c r="T38"/>
      <c r="U38" s="37"/>
      <c r="V38" s="397"/>
      <c r="W38" s="397"/>
      <c r="X38" s="397"/>
      <c r="Y38" s="397"/>
      <c r="Z38" s="397"/>
      <c r="AA38"/>
      <c r="AB38" s="399"/>
      <c r="AC38" s="399"/>
      <c r="AD38" s="399"/>
      <c r="AE38" s="399"/>
    </row>
    <row r="39" spans="2:31" x14ac:dyDescent="0.25">
      <c r="B39" s="37"/>
      <c r="C39" s="37"/>
      <c r="D39" s="37"/>
      <c r="E39" s="37"/>
      <c r="G39" s="50"/>
      <c r="H39" s="50"/>
      <c r="I39" s="40"/>
      <c r="J39" s="40"/>
      <c r="K39" s="40"/>
      <c r="L39" s="40"/>
      <c r="M39" s="40"/>
      <c r="O39" s="40"/>
      <c r="P39" s="35"/>
      <c r="Q39" s="37"/>
      <c r="R39" s="37"/>
      <c r="S39" s="37"/>
      <c r="T39" s="37"/>
      <c r="U39" s="37"/>
      <c r="V39" s="398"/>
      <c r="W39" s="398"/>
      <c r="X39" s="398"/>
      <c r="Y39" s="398"/>
      <c r="Z39" s="398"/>
      <c r="AB39" s="35"/>
      <c r="AC39" s="35"/>
    </row>
    <row r="40" spans="2:31" ht="15.75" x14ac:dyDescent="0.25">
      <c r="G40" s="127" t="str">
        <f>'STEP 2 Detailed analysis'!$G$37</f>
        <v>Motor and drive efficiency</v>
      </c>
      <c r="H40" s="128"/>
      <c r="I40" s="128"/>
      <c r="J40" s="128"/>
      <c r="K40" s="128"/>
      <c r="L40" s="128"/>
      <c r="M40" s="129"/>
      <c r="O40" s="127" t="str">
        <f>'STEP 2 Detailed analysis'!L37</f>
        <v>Pump efficiency</v>
      </c>
      <c r="P40" s="128"/>
      <c r="Q40" s="128"/>
      <c r="R40" s="129"/>
      <c r="S40"/>
      <c r="T40" s="127" t="str">
        <f>'STEP 2 Detailed analysis'!P37</f>
        <v>Head loss</v>
      </c>
      <c r="U40" s="128"/>
      <c r="V40" s="128"/>
      <c r="W40" s="128" t="str">
        <f>'STEP 2 Detailed analysis'!Q37</f>
        <v>Delivery line</v>
      </c>
      <c r="X40" s="128"/>
      <c r="Y40" s="156" t="str">
        <f>'STEP 2 Detailed analysis'!S37</f>
        <v>Machine boom</v>
      </c>
      <c r="Z40" s="134"/>
      <c r="AA40" s="37"/>
      <c r="AB40" s="127" t="str">
        <f>'STEP 2 Detailed analysis'!V37</f>
        <v>Residual pressure</v>
      </c>
      <c r="AC40" s="128"/>
      <c r="AD40" s="128"/>
      <c r="AE40" s="129"/>
    </row>
    <row r="41" spans="2:31" x14ac:dyDescent="0.25">
      <c r="G41" s="124"/>
      <c r="H41" s="232"/>
      <c r="I41" s="400" t="str">
        <f>'STEP 2 Detailed analysis'!AV57</f>
        <v>Current</v>
      </c>
      <c r="J41" s="400"/>
      <c r="K41" s="240" t="str">
        <f>'STEP 2 Detailed analysis'!AW57</f>
        <v>Potential</v>
      </c>
      <c r="L41" s="240" t="str">
        <f>'STEP 2 Detailed analysis'!AY57</f>
        <v>Potential savings</v>
      </c>
      <c r="M41" s="178"/>
      <c r="O41" s="124" t="str">
        <f>'STEP 2 Detailed analysis'!L38</f>
        <v>Current</v>
      </c>
      <c r="P41" s="123">
        <f>'STEP 2 Detailed analysis'!M38</f>
        <v>0.7</v>
      </c>
      <c r="Q41" s="400" t="str">
        <f>'STEP 2 Detailed analysis'!N38</f>
        <v>Good</v>
      </c>
      <c r="R41" s="403"/>
      <c r="S41"/>
      <c r="T41" s="124" t="str">
        <f>'STEP 2 Detailed analysis'!P38</f>
        <v>Current</v>
      </c>
      <c r="U41" s="336"/>
      <c r="V41" s="336"/>
      <c r="W41" s="229">
        <f>'STEP 2 Detailed analysis'!Q38</f>
        <v>5.1259969192164014</v>
      </c>
      <c r="X41" s="230" t="str">
        <f>'STEP 2 Detailed analysis'!R38</f>
        <v>m</v>
      </c>
      <c r="Y41" s="229">
        <f>'STEP 2 Detailed analysis'!S38</f>
        <v>9.0487442235307487</v>
      </c>
      <c r="Z41" s="177" t="str">
        <f>'STEP 2 Detailed analysis'!T38</f>
        <v>m</v>
      </c>
      <c r="AA41" s="37"/>
      <c r="AB41" s="124" t="str">
        <f>'STEP 2 Detailed analysis'!V38</f>
        <v>Current</v>
      </c>
      <c r="AC41" s="232"/>
      <c r="AD41" s="229">
        <f>'STEP 2 Detailed analysis'!W38</f>
        <v>14.999999999999998</v>
      </c>
      <c r="AE41" s="177" t="str">
        <f>'STEP 2 Detailed analysis'!X38</f>
        <v>PSI</v>
      </c>
    </row>
    <row r="42" spans="2:31" x14ac:dyDescent="0.25">
      <c r="G42" s="124" t="str">
        <f>'STEP 2 Detailed analysis'!AU59</f>
        <v>Drive efficiency</v>
      </c>
      <c r="H42" s="232"/>
      <c r="I42" s="401">
        <f>'STEP 2 Detailed analysis'!AV59/100</f>
        <v>1</v>
      </c>
      <c r="J42" s="401"/>
      <c r="K42" s="238">
        <f>'STEP 2 Detailed analysis'!AW59/100</f>
        <v>1</v>
      </c>
      <c r="L42" s="187">
        <f>'STEP 2 Detailed analysis'!AY59</f>
        <v>0</v>
      </c>
      <c r="M42" s="126" t="str">
        <f>'STEP 2 Detailed analysis'!AZ59</f>
        <v>/year</v>
      </c>
      <c r="O42" s="124" t="str">
        <f>'STEP 2 Detailed analysis'!L39</f>
        <v>Target</v>
      </c>
      <c r="P42" s="175">
        <f>'STEP 2 Detailed analysis'!M39</f>
        <v>80</v>
      </c>
      <c r="Q42" s="161"/>
      <c r="R42" s="339"/>
      <c r="S42"/>
      <c r="T42" s="124" t="str">
        <f>'STEP 2 Detailed analysis'!P39</f>
        <v>Target</v>
      </c>
      <c r="U42" s="232"/>
      <c r="V42" s="232"/>
      <c r="W42" s="231">
        <f>'STEP 2 Detailed analysis'!Q39</f>
        <v>3.97092</v>
      </c>
      <c r="X42" s="230" t="str">
        <f>'STEP 2 Detailed analysis'!R39</f>
        <v>m</v>
      </c>
      <c r="Y42" s="231">
        <f>'STEP 2 Detailed analysis'!S39</f>
        <v>5.8552831748218859</v>
      </c>
      <c r="Z42" s="177" t="str">
        <f>'STEP 2 Detailed analysis'!T39</f>
        <v>m</v>
      </c>
      <c r="AA42" s="37"/>
      <c r="AB42" s="124" t="str">
        <f>'STEP 2 Detailed analysis'!V39</f>
        <v>Target</v>
      </c>
      <c r="AC42" s="232"/>
      <c r="AD42" s="231">
        <f>'STEP 2 Detailed analysis'!W39</f>
        <v>14.999999999999998</v>
      </c>
      <c r="AE42" s="177" t="str">
        <f>'STEP 2 Detailed analysis'!X39</f>
        <v>PSI</v>
      </c>
    </row>
    <row r="43" spans="2:31" x14ac:dyDescent="0.25">
      <c r="G43" s="125" t="str">
        <f>'STEP 2 Detailed analysis'!AU60</f>
        <v>Motor efficiency</v>
      </c>
      <c r="H43" s="228"/>
      <c r="I43" s="402">
        <f>'STEP 2 Detailed analysis'!AV60/100</f>
        <v>0.93900000000000006</v>
      </c>
      <c r="J43" s="402"/>
      <c r="K43" s="239">
        <f>'STEP 2 Detailed analysis'!AW60/100</f>
        <v>0.95</v>
      </c>
      <c r="L43" s="188">
        <f>'STEP 2 Detailed analysis'!AY60</f>
        <v>8.2750000000000004</v>
      </c>
      <c r="M43" s="179" t="str">
        <f>'STEP 2 Detailed analysis'!AZ60</f>
        <v>/year</v>
      </c>
      <c r="O43" s="125" t="str">
        <f>'STEP 2 Detailed analysis'!L40</f>
        <v>Saving</v>
      </c>
      <c r="P43" s="189">
        <f>'STEP 2 Detailed analysis'!M40</f>
        <v>1014.269</v>
      </c>
      <c r="Q43" s="179" t="str">
        <f>'STEP 2 Detailed analysis'!N40</f>
        <v>/year</v>
      </c>
      <c r="R43" s="179"/>
      <c r="T43" s="125" t="str">
        <f>'STEP 2 Detailed analysis'!P40</f>
        <v>Saving</v>
      </c>
      <c r="U43" s="228"/>
      <c r="V43" s="228"/>
      <c r="W43" s="188">
        <f>'STEP 2 Detailed analysis'!Q40</f>
        <v>324.53899999999999</v>
      </c>
      <c r="X43" s="169" t="str">
        <f>'STEP 2 Detailed analysis'!R40</f>
        <v>/year</v>
      </c>
      <c r="Y43" s="188">
        <f>'STEP 2 Detailed analysis'!S40</f>
        <v>897.25900000000001</v>
      </c>
      <c r="Z43" s="179" t="str">
        <f>'STEP 2 Detailed analysis'!T40</f>
        <v>/year</v>
      </c>
      <c r="AA43" s="37"/>
      <c r="AB43" s="125" t="str">
        <f>'STEP 2 Detailed analysis'!V40</f>
        <v>Savings</v>
      </c>
      <c r="AC43" s="228"/>
      <c r="AD43" s="188">
        <f>'STEP 2 Detailed analysis'!W40</f>
        <v>0</v>
      </c>
      <c r="AE43" s="179" t="str">
        <f>'STEP 2 Detailed analysis'!X40</f>
        <v>/year</v>
      </c>
    </row>
    <row r="44" spans="2:31" x14ac:dyDescent="0.25">
      <c r="G44" s="37"/>
      <c r="H44" s="37"/>
      <c r="I44" s="37"/>
      <c r="O44" s="37"/>
      <c r="P44" s="40"/>
      <c r="Q44" s="40"/>
      <c r="R44" s="40"/>
      <c r="S44" s="40"/>
      <c r="T44" s="40"/>
      <c r="U44" s="40"/>
      <c r="V44" s="40"/>
      <c r="W44" s="40"/>
      <c r="X44" s="40"/>
      <c r="Y44" s="40"/>
      <c r="Z44" s="40"/>
      <c r="AA44" s="40"/>
      <c r="AB44" s="40"/>
      <c r="AC44" s="40"/>
      <c r="AD44" s="40"/>
      <c r="AE44" s="40"/>
    </row>
    <row r="45" spans="2:31" x14ac:dyDescent="0.25">
      <c r="G45" s="37"/>
      <c r="H45" s="37"/>
      <c r="I45" s="37"/>
      <c r="O45" s="37"/>
      <c r="P45" s="40"/>
      <c r="Q45" s="40"/>
      <c r="R45" s="40"/>
      <c r="S45" s="40"/>
      <c r="T45" s="40"/>
      <c r="U45" s="40"/>
      <c r="V45" s="40"/>
      <c r="W45" s="40"/>
      <c r="X45" s="40"/>
      <c r="Y45" s="40"/>
      <c r="Z45" s="40"/>
      <c r="AA45" s="40"/>
      <c r="AB45" s="40"/>
      <c r="AC45" s="40"/>
      <c r="AD45" s="40"/>
      <c r="AE45" s="40"/>
    </row>
    <row r="46" spans="2:31" x14ac:dyDescent="0.25">
      <c r="G46" s="37"/>
      <c r="H46" s="37"/>
      <c r="I46" s="37"/>
      <c r="O46" s="50"/>
      <c r="P46" s="40"/>
      <c r="Q46" s="40"/>
      <c r="R46" s="40"/>
      <c r="S46" s="40"/>
      <c r="T46" s="40"/>
      <c r="U46" s="40"/>
      <c r="V46" s="40"/>
      <c r="W46" s="40"/>
      <c r="X46" s="40"/>
      <c r="Y46" s="40"/>
      <c r="Z46" s="40"/>
      <c r="AA46" s="40"/>
      <c r="AB46" s="40"/>
      <c r="AC46" s="40"/>
      <c r="AD46" s="40"/>
      <c r="AE46" s="40"/>
    </row>
    <row r="47" spans="2:31" ht="18.75" x14ac:dyDescent="0.3">
      <c r="G47" s="148"/>
      <c r="H47" s="149"/>
      <c r="I47" s="149"/>
      <c r="J47" s="149"/>
      <c r="K47" s="149"/>
      <c r="L47" s="150" t="str">
        <f>'STEP 2 Detailed analysis'!O43</f>
        <v>Total potential savings</v>
      </c>
      <c r="M47" s="382">
        <f>'STEP 2 Detailed analysis'!P43</f>
        <v>2244.3420000000001</v>
      </c>
      <c r="N47" s="382"/>
      <c r="O47" s="382"/>
      <c r="P47" s="149" t="str">
        <f>'STEP 2 Detailed analysis'!R43</f>
        <v>/year</v>
      </c>
      <c r="Q47" s="149"/>
      <c r="R47" s="149"/>
      <c r="S47" s="149"/>
      <c r="T47" s="149"/>
      <c r="U47" s="149"/>
      <c r="V47" s="149" t="s">
        <v>561</v>
      </c>
      <c r="W47" s="149"/>
      <c r="X47" s="149"/>
      <c r="Y47" s="149"/>
      <c r="Z47" s="395">
        <f>'STEP 2 Detailed analysis'!BH18</f>
        <v>25.806472809832741</v>
      </c>
      <c r="AA47" s="395"/>
      <c r="AB47" s="149" t="s">
        <v>336</v>
      </c>
      <c r="AC47" s="149"/>
      <c r="AD47" s="149"/>
      <c r="AE47" s="151"/>
    </row>
  </sheetData>
  <sheetProtection algorithmName="SHA-512" hashValue="kzqq6jZHIik+hgyVVq5B/9Z+y4HVybsJhKTfwaUxVAErw5Vd1CnqADlW75qTgVfiyi7+CRg7trvq+9B/wBJV/w==" saltValue="mOca+zBkQ4CgEHIXyjl5CA==" spinCount="100000" sheet="1" selectLockedCells="1"/>
  <mergeCells count="25">
    <mergeCell ref="Z47:AA47"/>
    <mergeCell ref="V37:Z39"/>
    <mergeCell ref="AB36:AE38"/>
    <mergeCell ref="O28:T31"/>
    <mergeCell ref="I41:J41"/>
    <mergeCell ref="I42:J42"/>
    <mergeCell ref="I43:J43"/>
    <mergeCell ref="Q41:R41"/>
    <mergeCell ref="M47:O47"/>
    <mergeCell ref="G32:K34"/>
    <mergeCell ref="G36:K38"/>
    <mergeCell ref="S34:T34"/>
    <mergeCell ref="S35:T35"/>
    <mergeCell ref="S36:T36"/>
    <mergeCell ref="S37:T37"/>
    <mergeCell ref="V19:AA21"/>
    <mergeCell ref="AC20:AE22"/>
    <mergeCell ref="D29:E29"/>
    <mergeCell ref="B2:C2"/>
    <mergeCell ref="D2:AE2"/>
    <mergeCell ref="I25:J25"/>
    <mergeCell ref="I20:J20"/>
    <mergeCell ref="G28:H28"/>
    <mergeCell ref="H14:J14"/>
    <mergeCell ref="M20:N20"/>
  </mergeCells>
  <conditionalFormatting sqref="D35">
    <cfRule type="cellIs" dxfId="69" priority="15" operator="greaterThan">
      <formula>100</formula>
    </cfRule>
  </conditionalFormatting>
  <conditionalFormatting sqref="AD43">
    <cfRule type="cellIs" dxfId="68" priority="13" operator="lessThan">
      <formula>0</formula>
    </cfRule>
  </conditionalFormatting>
  <conditionalFormatting sqref="M47">
    <cfRule type="cellIs" dxfId="67" priority="3" operator="lessThan">
      <formula>0</formula>
    </cfRule>
  </conditionalFormatting>
  <pageMargins left="0.7" right="0.7" top="0.75" bottom="0.75" header="0.3" footer="0.3"/>
  <pageSetup paperSize="9" orientation="portrait" r:id="rId1"/>
  <headerFooter>
    <oddHeader>&amp;C&amp;"Calibri"&amp;12&amp;K000000UNOFFICIAL&amp;1#</oddHeader>
    <oddFooter>&amp;C&amp;1#&amp;"Calibri"&amp;12&amp;K000000UNOFFICIAL</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16" operator="lessThan" id="{C8DD8F19-7E1E-4A53-BD29-EA7DA892A998}">
            <xm:f>'STEP 2 Detailed analysis'!$AI$18</xm:f>
            <x14:dxf>
              <font>
                <color rgb="FF9C0006"/>
              </font>
              <fill>
                <patternFill>
                  <bgColor rgb="FFFFC7CE"/>
                </patternFill>
              </fill>
            </x14:dxf>
          </x14:cfRule>
          <xm:sqref>D35</xm:sqref>
        </x14:conditionalFormatting>
        <x14:conditionalFormatting xmlns:xm="http://schemas.microsoft.com/office/excel/2006/main">
          <x14:cfRule type="containsText" priority="123" operator="containsText" id="{9658040B-7E7F-4136-AAE2-C3C685E43B94}">
            <xm:f>NOT(ISERROR(SEARCH('STEP 2 Detailed analysis'!$AS$45,Q41)))</xm:f>
            <xm:f>'STEP 2 Detailed analysis'!$AS$45</xm:f>
            <x14:dxf>
              <font>
                <color rgb="FF9C5700"/>
              </font>
              <fill>
                <patternFill>
                  <bgColor rgb="FFFFEB9C"/>
                </patternFill>
              </fill>
            </x14:dxf>
          </x14:cfRule>
          <x14:cfRule type="containsText" priority="124" operator="containsText" id="{5624EEB8-3BAF-4CE2-9572-656FDBA2C9BA}">
            <xm:f>NOT(ISERROR(SEARCH('STEP 2 Detailed analysis'!$AS$44,Q41)))</xm:f>
            <xm:f>'STEP 2 Detailed analysis'!$AS$44</xm:f>
            <x14:dxf>
              <font>
                <color rgb="FF006100"/>
              </font>
              <fill>
                <patternFill>
                  <bgColor rgb="FFC6EFCE"/>
                </patternFill>
              </fill>
            </x14:dxf>
          </x14:cfRule>
          <x14:cfRule type="containsText" priority="125" operator="containsText" id="{1575FF44-F784-48FA-8243-21A1DEC7DEC5}">
            <xm:f>NOT(ISERROR(SEARCH('STEP 2 Detailed analysis'!$AS$43,Q41)))</xm:f>
            <xm:f>'STEP 2 Detailed analysis'!$AS$43</xm:f>
            <x14:dxf>
              <font>
                <color rgb="FF006100"/>
              </font>
              <fill>
                <patternFill>
                  <bgColor rgb="FFC6EFCE"/>
                </patternFill>
              </fill>
            </x14:dxf>
          </x14:cfRule>
          <x14:cfRule type="containsText" priority="126" operator="containsText" id="{F809124A-8A89-4050-9715-2A047E433BA9}">
            <xm:f>NOT(ISERROR(SEARCH('STEP 2 Detailed analysis'!$AS$42,Q41)))</xm:f>
            <xm:f>'STEP 2 Detailed analysis'!$AS$42</xm:f>
            <x14:dxf>
              <font>
                <color rgb="FF9C0006"/>
              </font>
              <fill>
                <patternFill>
                  <bgColor rgb="FFFFC7CE"/>
                </patternFill>
              </fill>
            </x14:dxf>
          </x14:cfRule>
          <xm:sqref>Q41</xm:sqref>
        </x14:conditionalFormatting>
        <x14:conditionalFormatting xmlns:xm="http://schemas.microsoft.com/office/excel/2006/main">
          <x14:cfRule type="expression" priority="225" id="{C9F3EDAC-62AA-40FF-B239-84D837A3F5EF}">
            <xm:f>'STEP 2 Detailed analysis'!$AW$49</xm:f>
            <x14:dxf>
              <font>
                <color theme="0"/>
              </font>
              <fill>
                <patternFill>
                  <bgColor theme="0"/>
                </patternFill>
              </fill>
            </x14:dxf>
          </x14:cfRule>
          <xm:sqref>V37</xm:sqref>
        </x14:conditionalFormatting>
        <x14:conditionalFormatting xmlns:xm="http://schemas.microsoft.com/office/excel/2006/main">
          <x14:cfRule type="expression" priority="247" id="{2EF076F8-3E42-4C35-8FA7-58EF884346FF}">
            <xm:f>AND(NOT('STEP 2 Detailed analysis'!$AW$50),NOT('STEP 2 Detailed analysis'!$AW$51))</xm:f>
            <x14:dxf>
              <font>
                <color theme="0"/>
              </font>
              <fill>
                <patternFill>
                  <bgColor theme="0"/>
                </patternFill>
              </fill>
            </x14:dxf>
          </x14:cfRule>
          <xm:sqref>O28</xm:sqref>
        </x14:conditionalFormatting>
        <x14:conditionalFormatting xmlns:xm="http://schemas.microsoft.com/office/excel/2006/main">
          <x14:cfRule type="expression" priority="248" id="{D0D726F3-C5C9-4D8B-9671-6BB7447B3802}">
            <xm:f>NOT('STEP 2 Detailed analysis'!$AW$52)</xm:f>
            <x14:dxf>
              <font>
                <color theme="0"/>
              </font>
              <fill>
                <patternFill>
                  <bgColor theme="0"/>
                </patternFill>
              </fill>
            </x14:dxf>
          </x14:cfRule>
          <xm:sqref>V19:W19</xm:sqref>
        </x14:conditionalFormatting>
        <x14:conditionalFormatting xmlns:xm="http://schemas.microsoft.com/office/excel/2006/main">
          <x14:cfRule type="expression" priority="249" id="{C9F3EDAC-62AA-40FF-B239-84D837A3F5EF}">
            <xm:f>'STEP 2 Detailed analysis'!$AW$48</xm:f>
            <x14:dxf>
              <font>
                <color theme="0"/>
              </font>
              <fill>
                <patternFill>
                  <bgColor theme="0"/>
                </patternFill>
              </fill>
            </x14:dxf>
          </x14:cfRule>
          <xm:sqref>AC20</xm:sqref>
        </x14:conditionalFormatting>
        <x14:conditionalFormatting xmlns:xm="http://schemas.microsoft.com/office/excel/2006/main">
          <x14:cfRule type="expression" priority="251" id="{EAD45A3C-AC84-4989-B4DC-1EB13A547146}">
            <xm:f>OR('STEP 2 Detailed analysis'!$R$32&gt;'STEP 2 Detailed analysis'!$AW$42,'STEP 2 Detailed analysis'!$R$32&lt;'STEP 2 Detailed analysis'!$AW$43)</xm:f>
            <x14:dxf>
              <font>
                <color rgb="FF9C0006"/>
              </font>
              <fill>
                <patternFill>
                  <bgColor rgb="FFFFC7CE"/>
                </patternFill>
              </fill>
            </x14:dxf>
          </x14:cfRule>
          <xm:sqref>V36:Z36</xm:sqref>
        </x14:conditionalFormatting>
        <x14:conditionalFormatting xmlns:xm="http://schemas.microsoft.com/office/excel/2006/main">
          <x14:cfRule type="expression" priority="269" id="{AB832DD6-0C97-4F05-A879-F782BCA2D1D6}">
            <xm:f>'STEP 2 Detailed analysis'!$W$40&gt;=0</xm:f>
            <x14:dxf>
              <font>
                <color theme="0"/>
              </font>
              <fill>
                <patternFill>
                  <bgColor theme="0"/>
                </patternFill>
              </fill>
            </x14:dxf>
          </x14:cfRule>
          <xm:sqref>AB36</xm:sqref>
        </x14:conditionalFormatting>
        <x14:conditionalFormatting xmlns:xm="http://schemas.microsoft.com/office/excel/2006/main">
          <x14:cfRule type="expression" priority="275" id="{00000000-000E-0000-0200-000007000000}">
            <xm:f>'STEP 2 Detailed analysis'!$D$7='STEP 2 Detailed analysis'!$AZ$32</xm:f>
            <x14:dxf>
              <font>
                <color theme="0" tint="-0.14996795556505021"/>
              </font>
              <fill>
                <patternFill>
                  <bgColor theme="0" tint="-0.14996795556505021"/>
                </patternFill>
              </fill>
            </x14:dxf>
          </x14:cfRule>
          <xm:sqref>D34:E34</xm:sqref>
        </x14:conditionalFormatting>
        <x14:conditionalFormatting xmlns:xm="http://schemas.microsoft.com/office/excel/2006/main">
          <x14:cfRule type="expression" priority="276" id="{00000000-000E-0000-0200-000009000000}">
            <xm:f>'STEP 2 Detailed analysis'!$D$28='STEP 2 Detailed analysis'!$BC$24</xm:f>
            <x14:dxf>
              <border>
                <bottom style="thin">
                  <color auto="1"/>
                </bottom>
                <vertical/>
                <horizontal/>
              </border>
            </x14:dxf>
          </x14:cfRule>
          <xm:sqref>B29:D29</xm:sqref>
        </x14:conditionalFormatting>
        <x14:conditionalFormatting xmlns:xm="http://schemas.microsoft.com/office/excel/2006/main">
          <x14:cfRule type="expression" priority="277" id="{305F524B-9736-49F9-BDCE-A4100021FD5C}">
            <xm:f>'STEP 2 Detailed analysis'!$D$26='STEP 2 Detailed analysis'!$BC$37</xm:f>
            <x14:dxf>
              <font>
                <color theme="0" tint="-0.14996795556505021"/>
              </font>
              <fill>
                <patternFill>
                  <bgColor theme="0" tint="-0.14996795556505021"/>
                </patternFill>
              </fill>
            </x14:dxf>
          </x14:cfRule>
          <xm:sqref>E27</xm:sqref>
        </x14:conditionalFormatting>
        <x14:conditionalFormatting xmlns:xm="http://schemas.microsoft.com/office/excel/2006/main">
          <x14:cfRule type="expression" priority="278" id="{F192039D-1A98-450A-8B70-31D4BF55C120}">
            <xm:f>NOT('STEP 2 Detailed analysis'!$D$35&lt;'STEP 2 Detailed analysis'!$AR$48)</xm:f>
            <x14:dxf>
              <font>
                <color rgb="FF006100"/>
              </font>
              <fill>
                <patternFill>
                  <bgColor rgb="FFC6EFCE"/>
                </patternFill>
              </fill>
            </x14:dxf>
          </x14:cfRule>
          <xm:sqref>G32:H32</xm:sqref>
        </x14:conditionalFormatting>
        <x14:conditionalFormatting xmlns:xm="http://schemas.microsoft.com/office/excel/2006/main">
          <x14:cfRule type="expression" priority="279" id="{FDC9D7FD-0E73-4717-83BE-A5B762CD560B}">
            <xm:f>'STEP 2 Detailed analysis'!$D$26='STEP 2 Detailed analysis'!$BC$37</xm:f>
            <x14:dxf>
              <font>
                <color theme="0"/>
              </font>
              <fill>
                <patternFill patternType="solid">
                  <bgColor theme="0"/>
                </patternFill>
              </fill>
              <border>
                <left/>
                <right/>
                <top style="thin">
                  <color auto="1"/>
                </top>
                <bottom/>
                <vertical/>
                <horizontal/>
              </border>
            </x14:dxf>
          </x14:cfRule>
          <xm:sqref>V36:Z36</xm:sqref>
        </x14:conditionalFormatting>
        <x14:conditionalFormatting xmlns:xm="http://schemas.microsoft.com/office/excel/2006/main">
          <x14:cfRule type="expression" priority="280" id="{EBF4B72C-7A96-4061-9E5E-F3EF4621967A}">
            <xm:f>'STEP 2 Detailed analysis'!$D$36='STEP 2 Detailed analysis'!$AZ$43</xm:f>
            <x14:dxf>
              <font>
                <color theme="0"/>
              </font>
              <fill>
                <patternFill>
                  <bgColor theme="0"/>
                </patternFill>
              </fill>
            </x14:dxf>
          </x14:cfRule>
          <xm:sqref>G36:H36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E8A66-041B-4425-A049-9D676A1D9E03}">
  <sheetPr>
    <tabColor theme="5" tint="0.39997558519241921"/>
  </sheetPr>
  <dimension ref="B1:W2"/>
  <sheetViews>
    <sheetView showGridLines="0" workbookViewId="0">
      <selection activeCell="F23" sqref="F23"/>
    </sheetView>
  </sheetViews>
  <sheetFormatPr defaultRowHeight="15" x14ac:dyDescent="0.25"/>
  <cols>
    <col min="1" max="1" width="2.28515625" customWidth="1"/>
    <col min="23" max="23" width="4.140625" customWidth="1"/>
  </cols>
  <sheetData>
    <row r="1" spans="2:23" ht="6.75" customHeight="1" x14ac:dyDescent="0.25"/>
    <row r="2" spans="2:23" x14ac:dyDescent="0.25">
      <c r="B2" s="224" t="s">
        <v>539</v>
      </c>
      <c r="C2" s="225"/>
      <c r="D2" s="225"/>
      <c r="E2" s="225"/>
      <c r="F2" s="225"/>
      <c r="G2" s="225"/>
      <c r="H2" s="225"/>
      <c r="I2" s="225"/>
      <c r="J2" s="225"/>
      <c r="K2" s="225"/>
      <c r="L2" s="225"/>
      <c r="M2" s="225"/>
      <c r="N2" s="225"/>
      <c r="O2" s="225"/>
      <c r="P2" s="225"/>
      <c r="Q2" s="225"/>
      <c r="R2" s="225"/>
      <c r="S2" s="225"/>
      <c r="T2" s="225"/>
      <c r="U2" s="225"/>
      <c r="V2" s="225"/>
      <c r="W2" s="225"/>
    </row>
  </sheetData>
  <sheetProtection sheet="1" objects="1" scenarios="1" select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8EBA8-0782-4D66-AB0B-B98AFF5487D6}">
  <sheetPr>
    <tabColor theme="5" tint="0.39997558519241921"/>
  </sheetPr>
  <dimension ref="B1:S2"/>
  <sheetViews>
    <sheetView showGridLines="0" workbookViewId="0">
      <selection activeCell="O46" sqref="O46"/>
    </sheetView>
  </sheetViews>
  <sheetFormatPr defaultRowHeight="15" x14ac:dyDescent="0.25"/>
  <cols>
    <col min="1" max="1" width="2.28515625" customWidth="1"/>
    <col min="23" max="23" width="4.140625" customWidth="1"/>
  </cols>
  <sheetData>
    <row r="1" spans="2:19" ht="6.75" customHeight="1" x14ac:dyDescent="0.25"/>
    <row r="2" spans="2:19" x14ac:dyDescent="0.25">
      <c r="B2" s="224" t="s">
        <v>540</v>
      </c>
      <c r="C2" s="225"/>
      <c r="D2" s="225"/>
      <c r="E2" s="225"/>
      <c r="F2" s="225"/>
      <c r="G2" s="225"/>
      <c r="H2" s="225"/>
      <c r="I2" s="225"/>
      <c r="J2" s="225"/>
      <c r="K2" s="225"/>
      <c r="L2" s="225"/>
      <c r="M2" s="225"/>
      <c r="N2" s="225"/>
      <c r="O2" s="225"/>
      <c r="P2" s="225"/>
      <c r="Q2" s="225"/>
      <c r="R2" s="225"/>
      <c r="S2" s="225"/>
    </row>
  </sheetData>
  <sheetProtection sheet="1" objects="1" scenarios="1" select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87724-A9FC-4925-838F-1E2293C408E2}">
  <sheetPr>
    <tabColor theme="5" tint="0.39997558519241921"/>
  </sheetPr>
  <dimension ref="B1:W2"/>
  <sheetViews>
    <sheetView showGridLines="0" workbookViewId="0">
      <selection activeCell="H42" sqref="H42"/>
    </sheetView>
  </sheetViews>
  <sheetFormatPr defaultRowHeight="15" x14ac:dyDescent="0.25"/>
  <cols>
    <col min="1" max="1" width="2.28515625" customWidth="1"/>
    <col min="23" max="23" width="4.140625" customWidth="1"/>
  </cols>
  <sheetData>
    <row r="1" spans="2:23" ht="6.75" customHeight="1" x14ac:dyDescent="0.25"/>
    <row r="2" spans="2:23" x14ac:dyDescent="0.25">
      <c r="B2" s="224" t="s">
        <v>540</v>
      </c>
      <c r="C2" s="225"/>
      <c r="D2" s="225"/>
      <c r="E2" s="225"/>
      <c r="F2" s="225"/>
      <c r="G2" s="225"/>
      <c r="H2" s="225"/>
      <c r="I2" s="225"/>
      <c r="J2" s="225"/>
      <c r="K2" s="225"/>
      <c r="L2" s="225"/>
      <c r="M2" s="225"/>
      <c r="N2" s="225"/>
      <c r="O2" s="225"/>
      <c r="P2" s="225"/>
      <c r="Q2" s="225"/>
      <c r="R2" s="225"/>
      <c r="S2" s="225"/>
      <c r="T2" s="225"/>
      <c r="U2" s="225"/>
      <c r="V2" s="225"/>
      <c r="W2" s="225"/>
    </row>
  </sheetData>
  <sheetProtection sheet="1" objects="1" scenarios="1" selectLockedCell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644C3-AA0F-43F5-AB2A-CB5344CC5B43}">
  <sheetPr>
    <tabColor theme="5" tint="0.39997558519241921"/>
  </sheetPr>
  <dimension ref="B1:W2"/>
  <sheetViews>
    <sheetView showGridLines="0" workbookViewId="0">
      <selection activeCell="H39" sqref="H39"/>
    </sheetView>
  </sheetViews>
  <sheetFormatPr defaultRowHeight="15" x14ac:dyDescent="0.25"/>
  <cols>
    <col min="1" max="1" width="2.28515625" customWidth="1"/>
    <col min="23" max="23" width="4.140625" customWidth="1"/>
  </cols>
  <sheetData>
    <row r="1" spans="2:23" ht="6.75" customHeight="1" x14ac:dyDescent="0.25"/>
    <row r="2" spans="2:23" x14ac:dyDescent="0.25">
      <c r="B2" s="224" t="s">
        <v>547</v>
      </c>
      <c r="C2" s="225"/>
      <c r="D2" s="225"/>
      <c r="E2" s="225"/>
      <c r="F2" s="225"/>
      <c r="G2" s="225"/>
      <c r="H2" s="225"/>
      <c r="I2" s="225"/>
      <c r="J2" s="225"/>
      <c r="K2" s="225"/>
      <c r="L2" s="225"/>
      <c r="M2" s="225"/>
      <c r="N2" s="225"/>
      <c r="O2" s="225"/>
      <c r="P2" s="225"/>
      <c r="Q2" s="225"/>
      <c r="R2" s="225"/>
      <c r="S2" s="225"/>
      <c r="T2" s="225"/>
      <c r="U2" s="225"/>
      <c r="V2" s="225"/>
      <c r="W2" s="225"/>
    </row>
  </sheetData>
  <sheetProtection sheet="1" objects="1" scenarios="1" selectLockedCell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2237-1A34-4DA5-B121-924F23928055}">
  <dimension ref="A1:AK1677"/>
  <sheetViews>
    <sheetView workbookViewId="0"/>
  </sheetViews>
  <sheetFormatPr defaultRowHeight="15" x14ac:dyDescent="0.25"/>
  <cols>
    <col min="1" max="1" width="15.5703125" bestFit="1" customWidth="1"/>
    <col min="2" max="2" width="15.140625" customWidth="1"/>
    <col min="5" max="5" width="13.42578125" bestFit="1" customWidth="1"/>
    <col min="6" max="6" width="10.28515625" bestFit="1" customWidth="1"/>
    <col min="9" max="9" width="12.42578125" bestFit="1" customWidth="1"/>
    <col min="12" max="12" width="15.140625" bestFit="1" customWidth="1"/>
    <col min="13" max="13" width="8.42578125" bestFit="1" customWidth="1"/>
    <col min="14" max="14" width="12.42578125" bestFit="1" customWidth="1"/>
    <col min="15" max="15" width="6.42578125" bestFit="1" customWidth="1"/>
    <col min="16" max="16" width="11.42578125" bestFit="1" customWidth="1"/>
    <col min="17" max="17" width="11.28515625" bestFit="1" customWidth="1"/>
    <col min="18" max="18" width="18.85546875" bestFit="1" customWidth="1"/>
    <col min="19" max="19" width="7.85546875" bestFit="1" customWidth="1"/>
    <col min="20" max="20" width="15.85546875" bestFit="1" customWidth="1"/>
    <col min="21" max="21" width="9.140625" bestFit="1" customWidth="1"/>
    <col min="22" max="22" width="9" bestFit="1" customWidth="1"/>
    <col min="23" max="23" width="7.85546875" bestFit="1" customWidth="1"/>
    <col min="24" max="24" width="8.85546875" bestFit="1" customWidth="1"/>
    <col min="25" max="29" width="14.7109375" bestFit="1" customWidth="1"/>
    <col min="30" max="30" width="14.85546875" customWidth="1"/>
    <col min="31" max="31" width="14.7109375" bestFit="1" customWidth="1"/>
    <col min="32" max="32" width="14.85546875" customWidth="1"/>
    <col min="33" max="34" width="14.7109375" bestFit="1" customWidth="1"/>
    <col min="35" max="35" width="14.85546875" customWidth="1"/>
    <col min="36" max="36" width="13.28515625" customWidth="1"/>
    <col min="37" max="37" width="13.140625" customWidth="1"/>
    <col min="38" max="39" width="8" bestFit="1" customWidth="1"/>
    <col min="40" max="40" width="11" bestFit="1" customWidth="1"/>
    <col min="41" max="50" width="8" bestFit="1" customWidth="1"/>
    <col min="51" max="51" width="11" bestFit="1" customWidth="1"/>
    <col min="52" max="60" width="7" bestFit="1" customWidth="1"/>
    <col min="61" max="61" width="10" bestFit="1" customWidth="1"/>
    <col min="62" max="73" width="17.7109375" bestFit="1" customWidth="1"/>
    <col min="74" max="74" width="20.85546875" bestFit="1" customWidth="1"/>
    <col min="75" max="80" width="11" bestFit="1" customWidth="1"/>
    <col min="81" max="81" width="14.140625" bestFit="1" customWidth="1"/>
    <col min="82" max="94" width="10.5703125" bestFit="1" customWidth="1"/>
    <col min="95" max="95" width="13.7109375" bestFit="1" customWidth="1"/>
    <col min="96" max="96" width="11.28515625" bestFit="1" customWidth="1"/>
  </cols>
  <sheetData>
    <row r="1" spans="1:37" x14ac:dyDescent="0.25">
      <c r="F1" t="s">
        <v>67</v>
      </c>
      <c r="G1">
        <f>'STEP 2 Detailed analysis'!D25</f>
        <v>384</v>
      </c>
      <c r="L1" t="str">
        <f>VLOOKUP('STEP 2 Detailed analysis'!D26,Endgun[],2,FALSE)</f>
        <v>Table47</v>
      </c>
    </row>
    <row r="2" spans="1:37" x14ac:dyDescent="0.25">
      <c r="A2" s="8" t="s">
        <v>62</v>
      </c>
      <c r="B2" s="8" t="s">
        <v>68</v>
      </c>
      <c r="C2" s="8" t="s">
        <v>69</v>
      </c>
      <c r="D2" s="8" t="s">
        <v>70</v>
      </c>
      <c r="E2" s="8" t="s">
        <v>71</v>
      </c>
      <c r="F2" s="8" t="s">
        <v>72</v>
      </c>
      <c r="G2" s="8" t="s">
        <v>73</v>
      </c>
      <c r="H2" s="8" t="s">
        <v>74</v>
      </c>
      <c r="I2" s="8" t="s">
        <v>75</v>
      </c>
      <c r="L2">
        <v>1</v>
      </c>
      <c r="M2">
        <v>2</v>
      </c>
      <c r="N2">
        <v>3</v>
      </c>
      <c r="O2">
        <v>4</v>
      </c>
      <c r="P2">
        <v>5</v>
      </c>
      <c r="Q2">
        <v>6</v>
      </c>
      <c r="R2">
        <v>7</v>
      </c>
      <c r="S2">
        <v>8</v>
      </c>
      <c r="T2">
        <v>9</v>
      </c>
      <c r="U2">
        <v>10</v>
      </c>
      <c r="V2">
        <v>11</v>
      </c>
      <c r="W2">
        <v>12</v>
      </c>
      <c r="X2">
        <v>13</v>
      </c>
      <c r="Y2">
        <v>14</v>
      </c>
      <c r="Z2">
        <v>15</v>
      </c>
      <c r="AA2">
        <v>16</v>
      </c>
      <c r="AB2">
        <v>17</v>
      </c>
      <c r="AC2">
        <v>18</v>
      </c>
      <c r="AD2">
        <v>19</v>
      </c>
      <c r="AE2">
        <v>20</v>
      </c>
      <c r="AF2">
        <v>21</v>
      </c>
      <c r="AG2">
        <v>22</v>
      </c>
      <c r="AH2">
        <v>23</v>
      </c>
      <c r="AI2">
        <v>24</v>
      </c>
      <c r="AJ2">
        <v>25</v>
      </c>
      <c r="AK2">
        <v>26</v>
      </c>
    </row>
    <row r="3" spans="1:37" x14ac:dyDescent="0.25">
      <c r="A3" s="8" t="s">
        <v>316</v>
      </c>
      <c r="B3" t="str">
        <f t="shared" ref="B3:B66" si="0">A3&amp;C3&amp;D3</f>
        <v>EndSpray0.312510</v>
      </c>
      <c r="C3">
        <f>5/16</f>
        <v>0.3125</v>
      </c>
      <c r="D3">
        <v>10</v>
      </c>
      <c r="E3" s="5">
        <v>4.4153043049937904E-2</v>
      </c>
      <c r="F3" s="5">
        <v>6.0960000000000001</v>
      </c>
      <c r="G3" s="5">
        <f t="shared" ref="G3:G66" si="1">(PI()*(G$1+F3)^2)/10000-((PI()*(G$1)^2)/10000)</f>
        <v>1.4824827694089748</v>
      </c>
      <c r="H3" s="5">
        <f t="shared" ref="H3:H66" si="2">E3/0.0864</f>
        <v>0.51103059085576275</v>
      </c>
      <c r="I3" s="5">
        <f t="shared" ref="I3:I66" si="3">E3/G3*100</f>
        <v>2.9783174523870191</v>
      </c>
      <c r="L3" s="8" t="s">
        <v>42</v>
      </c>
      <c r="M3" s="8" t="s">
        <v>91</v>
      </c>
      <c r="N3" s="16" t="s">
        <v>64</v>
      </c>
      <c r="O3" s="8" t="s">
        <v>88</v>
      </c>
      <c r="P3" s="15"/>
      <c r="Q3" s="12" t="s">
        <v>312</v>
      </c>
      <c r="R3" s="13" t="s">
        <v>314</v>
      </c>
      <c r="S3" s="8" t="s">
        <v>89</v>
      </c>
      <c r="T3" s="14" t="s">
        <v>77</v>
      </c>
      <c r="U3" s="14" t="s">
        <v>78</v>
      </c>
      <c r="V3" s="14" t="s">
        <v>79</v>
      </c>
      <c r="W3" s="14" t="s">
        <v>80</v>
      </c>
      <c r="X3" s="14" t="s">
        <v>81</v>
      </c>
      <c r="Y3" s="14" t="s">
        <v>82</v>
      </c>
      <c r="Z3" s="14" t="s">
        <v>291</v>
      </c>
      <c r="AA3" s="14" t="s">
        <v>292</v>
      </c>
      <c r="AB3" s="14" t="s">
        <v>304</v>
      </c>
      <c r="AC3" s="14" t="s">
        <v>305</v>
      </c>
      <c r="AD3" s="14" t="s">
        <v>306</v>
      </c>
      <c r="AE3" s="14" t="s">
        <v>307</v>
      </c>
      <c r="AF3" s="14" t="s">
        <v>308</v>
      </c>
      <c r="AG3" s="14" t="s">
        <v>309</v>
      </c>
      <c r="AH3" s="14" t="s">
        <v>310</v>
      </c>
      <c r="AI3" s="14" t="s">
        <v>311</v>
      </c>
      <c r="AJ3" s="14" t="s">
        <v>313</v>
      </c>
      <c r="AK3" s="14" t="s">
        <v>315</v>
      </c>
    </row>
    <row r="4" spans="1:37" ht="15.75" x14ac:dyDescent="0.25">
      <c r="A4" s="8" t="s">
        <v>316</v>
      </c>
      <c r="B4" t="str">
        <f t="shared" si="0"/>
        <v>EndSpray0.312515</v>
      </c>
      <c r="C4">
        <f>5/16</f>
        <v>0.3125</v>
      </c>
      <c r="D4">
        <v>15</v>
      </c>
      <c r="E4" s="5">
        <v>5.396483039436855E-2</v>
      </c>
      <c r="F4" s="5">
        <v>6.4008000000000003</v>
      </c>
      <c r="G4" s="5">
        <f t="shared" si="1"/>
        <v>1.5572198212461359</v>
      </c>
      <c r="H4" s="5">
        <f t="shared" si="2"/>
        <v>0.6245929443792656</v>
      </c>
      <c r="I4" s="5">
        <f t="shared" si="3"/>
        <v>3.4654600242105968</v>
      </c>
      <c r="K4" s="21"/>
      <c r="L4" s="8" t="s">
        <v>63</v>
      </c>
      <c r="M4" s="8"/>
      <c r="N4" s="7">
        <v>0</v>
      </c>
      <c r="P4" s="7"/>
      <c r="Q4">
        <v>0.4</v>
      </c>
      <c r="R4">
        <v>0.4</v>
      </c>
      <c r="S4" s="11">
        <v>0.55000000000000004</v>
      </c>
      <c r="T4">
        <v>0.6</v>
      </c>
      <c r="U4" s="10">
        <f>13/32</f>
        <v>0.40625</v>
      </c>
      <c r="V4" s="10">
        <f>13/32</f>
        <v>0.40625</v>
      </c>
      <c r="W4">
        <v>0.52</v>
      </c>
      <c r="X4">
        <v>0.4</v>
      </c>
      <c r="Y4">
        <v>0.5</v>
      </c>
      <c r="Z4">
        <v>0.40625</v>
      </c>
      <c r="AA4">
        <v>0.3125</v>
      </c>
      <c r="AB4">
        <v>0.47</v>
      </c>
      <c r="AC4">
        <v>0.7</v>
      </c>
      <c r="AD4">
        <v>0.47</v>
      </c>
      <c r="AE4">
        <v>0.63</v>
      </c>
      <c r="AF4">
        <v>0.63</v>
      </c>
      <c r="AG4">
        <v>0.71</v>
      </c>
      <c r="AH4">
        <v>0.79</v>
      </c>
      <c r="AI4">
        <v>0.87</v>
      </c>
      <c r="AJ4">
        <v>0.4</v>
      </c>
      <c r="AK4">
        <v>0.4</v>
      </c>
    </row>
    <row r="5" spans="1:37" ht="15.75" x14ac:dyDescent="0.25">
      <c r="A5" s="8" t="s">
        <v>316</v>
      </c>
      <c r="B5" t="str">
        <f t="shared" si="0"/>
        <v>EndSpray0.312520</v>
      </c>
      <c r="C5">
        <f>5/16</f>
        <v>0.3125</v>
      </c>
      <c r="D5">
        <v>20</v>
      </c>
      <c r="E5" s="5">
        <v>6.2141319848060754E-2</v>
      </c>
      <c r="F5" s="5">
        <v>6.7056000000000004</v>
      </c>
      <c r="G5" s="5">
        <f t="shared" si="1"/>
        <v>1.6320152457848991</v>
      </c>
      <c r="H5" s="5">
        <f t="shared" si="2"/>
        <v>0.71922823898218458</v>
      </c>
      <c r="I5" s="5">
        <f t="shared" si="3"/>
        <v>3.8076433420923461</v>
      </c>
      <c r="K5" s="21"/>
      <c r="L5" s="8" t="s">
        <v>312</v>
      </c>
      <c r="M5" s="8" t="s">
        <v>92</v>
      </c>
      <c r="N5" s="7">
        <v>7.5</v>
      </c>
      <c r="O5" s="8">
        <v>6</v>
      </c>
      <c r="P5" s="7"/>
      <c r="Q5">
        <v>0.45</v>
      </c>
      <c r="R5">
        <v>0.45</v>
      </c>
      <c r="S5" s="11">
        <v>0.39</v>
      </c>
      <c r="T5">
        <v>0.7</v>
      </c>
      <c r="U5" s="5">
        <f>7/16</f>
        <v>0.4375</v>
      </c>
      <c r="V5" s="5">
        <f>7/16</f>
        <v>0.4375</v>
      </c>
      <c r="W5">
        <v>0.56000000000000005</v>
      </c>
      <c r="X5">
        <v>0.45</v>
      </c>
      <c r="Y5">
        <v>0.55000000000000004</v>
      </c>
      <c r="Z5">
        <v>0.4375</v>
      </c>
      <c r="AA5">
        <v>0.40625</v>
      </c>
      <c r="AB5">
        <v>0.55000000000000004</v>
      </c>
      <c r="AC5">
        <v>0.8</v>
      </c>
      <c r="AD5">
        <v>0.55000000000000004</v>
      </c>
      <c r="AE5">
        <v>0.67</v>
      </c>
      <c r="AF5">
        <v>0.71</v>
      </c>
      <c r="AG5">
        <v>0.79</v>
      </c>
      <c r="AH5">
        <v>0.87</v>
      </c>
      <c r="AI5">
        <v>0.94</v>
      </c>
      <c r="AJ5">
        <v>0.45</v>
      </c>
      <c r="AK5">
        <v>0.45</v>
      </c>
    </row>
    <row r="6" spans="1:37" ht="15.75" x14ac:dyDescent="0.25">
      <c r="A6" s="8" t="s">
        <v>316</v>
      </c>
      <c r="B6" t="str">
        <f t="shared" si="0"/>
        <v>EndSpray0.312525</v>
      </c>
      <c r="C6">
        <f>5/16</f>
        <v>0.3125</v>
      </c>
      <c r="D6">
        <v>25</v>
      </c>
      <c r="E6" s="5">
        <v>6.9772710004840144E-2</v>
      </c>
      <c r="F6" s="5">
        <v>7.0104000000000006</v>
      </c>
      <c r="G6" s="5">
        <f t="shared" si="1"/>
        <v>1.7068690430252502</v>
      </c>
      <c r="H6" s="5">
        <f t="shared" si="2"/>
        <v>0.80755451394490907</v>
      </c>
      <c r="I6" s="5">
        <f t="shared" si="3"/>
        <v>4.0877600006837769</v>
      </c>
      <c r="K6" s="21"/>
      <c r="L6" s="8" t="s">
        <v>314</v>
      </c>
      <c r="M6" s="8" t="s">
        <v>93</v>
      </c>
      <c r="N6" s="7">
        <v>7.5</v>
      </c>
      <c r="O6" s="8">
        <v>7</v>
      </c>
      <c r="Q6">
        <v>0.5</v>
      </c>
      <c r="R6">
        <v>0.5</v>
      </c>
      <c r="S6" s="11">
        <v>0.43</v>
      </c>
      <c r="T6">
        <v>0.8</v>
      </c>
      <c r="U6" s="5">
        <f>15/32</f>
        <v>0.46875</v>
      </c>
      <c r="V6" s="5">
        <f>15/32</f>
        <v>0.46875</v>
      </c>
      <c r="W6">
        <v>0.6</v>
      </c>
      <c r="X6">
        <v>0.5</v>
      </c>
      <c r="Y6">
        <v>0.6</v>
      </c>
      <c r="Z6">
        <v>0.46875</v>
      </c>
      <c r="AA6">
        <v>0.5</v>
      </c>
      <c r="AB6">
        <v>0.63</v>
      </c>
      <c r="AC6">
        <v>0.9</v>
      </c>
      <c r="AD6">
        <v>0.63</v>
      </c>
      <c r="AE6">
        <v>0.71</v>
      </c>
      <c r="AF6">
        <v>0.79</v>
      </c>
      <c r="AG6">
        <v>0.87</v>
      </c>
      <c r="AH6">
        <v>0.89</v>
      </c>
      <c r="AI6">
        <v>1.02</v>
      </c>
      <c r="AJ6">
        <v>0.5</v>
      </c>
      <c r="AK6">
        <v>0.5</v>
      </c>
    </row>
    <row r="7" spans="1:37" ht="15.75" x14ac:dyDescent="0.25">
      <c r="A7" s="8" t="s">
        <v>316</v>
      </c>
      <c r="B7" t="str">
        <f t="shared" si="0"/>
        <v>EndSpray0.4062510</v>
      </c>
      <c r="C7">
        <f>13/32</f>
        <v>0.40625</v>
      </c>
      <c r="D7">
        <v>10</v>
      </c>
      <c r="E7" s="5">
        <v>7.5768802270881092E-2</v>
      </c>
      <c r="F7" s="5">
        <v>6.7056000000000004</v>
      </c>
      <c r="G7" s="5">
        <f t="shared" si="1"/>
        <v>1.6320152457848991</v>
      </c>
      <c r="H7" s="5">
        <f t="shared" si="2"/>
        <v>0.87695372998704968</v>
      </c>
      <c r="I7" s="5">
        <f t="shared" si="3"/>
        <v>4.6426528469371595</v>
      </c>
      <c r="K7" s="21"/>
      <c r="L7" s="8" t="s">
        <v>76</v>
      </c>
      <c r="M7" s="8" t="s">
        <v>94</v>
      </c>
      <c r="N7" s="7">
        <v>7.5</v>
      </c>
      <c r="O7">
        <v>8</v>
      </c>
      <c r="Q7">
        <v>0.55000000000000004</v>
      </c>
      <c r="R7">
        <v>0.55000000000000004</v>
      </c>
      <c r="S7" s="11">
        <v>0.47</v>
      </c>
      <c r="T7">
        <v>0.9</v>
      </c>
      <c r="U7" s="5">
        <f>1/2</f>
        <v>0.5</v>
      </c>
      <c r="V7" s="5">
        <f>1/2</f>
        <v>0.5</v>
      </c>
      <c r="W7">
        <v>0.65</v>
      </c>
      <c r="X7">
        <v>0.55000000000000004</v>
      </c>
      <c r="Y7">
        <v>0.65</v>
      </c>
      <c r="Z7">
        <v>0.5078125</v>
      </c>
      <c r="AA7">
        <v>0.59375</v>
      </c>
      <c r="AB7">
        <v>0.67</v>
      </c>
      <c r="AC7">
        <v>1</v>
      </c>
      <c r="AD7">
        <v>0.71</v>
      </c>
      <c r="AE7">
        <v>0.75</v>
      </c>
      <c r="AF7">
        <v>0.87</v>
      </c>
      <c r="AG7">
        <v>0.94</v>
      </c>
      <c r="AH7">
        <v>0.91</v>
      </c>
      <c r="AI7">
        <v>1.1000000000000001</v>
      </c>
      <c r="AJ7">
        <v>0.55000000000000004</v>
      </c>
      <c r="AK7">
        <v>0.55000000000000004</v>
      </c>
    </row>
    <row r="8" spans="1:37" ht="15.75" x14ac:dyDescent="0.25">
      <c r="A8" s="8" t="s">
        <v>316</v>
      </c>
      <c r="B8" t="str">
        <f t="shared" si="0"/>
        <v>EndSpray0.4062515</v>
      </c>
      <c r="C8">
        <f>13/32</f>
        <v>0.40625</v>
      </c>
      <c r="D8">
        <v>15</v>
      </c>
      <c r="E8" s="5">
        <v>9.266688047517832E-2</v>
      </c>
      <c r="F8" s="5">
        <v>7.0104000000000006</v>
      </c>
      <c r="G8" s="5">
        <f t="shared" si="1"/>
        <v>1.7068690430252502</v>
      </c>
      <c r="H8" s="5">
        <f t="shared" si="2"/>
        <v>1.0725333388330824</v>
      </c>
      <c r="I8" s="5">
        <f t="shared" si="3"/>
        <v>5.4290562509081415</v>
      </c>
      <c r="K8" s="21"/>
      <c r="L8" s="8" t="s">
        <v>77</v>
      </c>
      <c r="M8" s="8" t="s">
        <v>95</v>
      </c>
      <c r="N8" s="7">
        <v>10</v>
      </c>
      <c r="O8">
        <v>9</v>
      </c>
      <c r="Q8">
        <v>0.6</v>
      </c>
      <c r="R8">
        <v>0.6</v>
      </c>
      <c r="S8" s="11">
        <v>0.51</v>
      </c>
      <c r="U8" s="5">
        <f>17/32</f>
        <v>0.53125</v>
      </c>
      <c r="V8" s="5">
        <f>17/32</f>
        <v>0.53125</v>
      </c>
      <c r="W8">
        <v>0.7</v>
      </c>
      <c r="X8">
        <v>0.6</v>
      </c>
      <c r="Y8">
        <v>0.7</v>
      </c>
      <c r="Z8">
        <v>0.546875</v>
      </c>
      <c r="AB8">
        <v>0.71</v>
      </c>
      <c r="AC8">
        <v>1.1000000000000001</v>
      </c>
      <c r="AD8">
        <v>0.79</v>
      </c>
      <c r="AE8">
        <v>0.79</v>
      </c>
      <c r="AF8">
        <v>0.94</v>
      </c>
      <c r="AG8">
        <v>1.02</v>
      </c>
      <c r="AH8">
        <v>0.94</v>
      </c>
      <c r="AI8">
        <v>1.18</v>
      </c>
      <c r="AJ8">
        <v>0.6</v>
      </c>
      <c r="AK8">
        <v>0.6</v>
      </c>
    </row>
    <row r="9" spans="1:37" ht="15.75" x14ac:dyDescent="0.25">
      <c r="A9" s="8" t="s">
        <v>316</v>
      </c>
      <c r="B9" t="str">
        <f t="shared" si="0"/>
        <v>EndSpray0.4062520</v>
      </c>
      <c r="C9">
        <f>13/32</f>
        <v>0.40625</v>
      </c>
      <c r="D9">
        <v>20</v>
      </c>
      <c r="E9" s="5">
        <v>0.10683946219491147</v>
      </c>
      <c r="F9" s="5">
        <v>7.4676</v>
      </c>
      <c r="G9" s="5">
        <f t="shared" si="1"/>
        <v>1.8192591877012561</v>
      </c>
      <c r="H9" s="5">
        <f t="shared" si="2"/>
        <v>1.236567849478142</v>
      </c>
      <c r="I9" s="5">
        <f t="shared" si="3"/>
        <v>5.8726905389390716</v>
      </c>
      <c r="K9" s="21"/>
      <c r="L9" s="8" t="s">
        <v>78</v>
      </c>
      <c r="M9" s="8" t="s">
        <v>96</v>
      </c>
      <c r="N9" s="7">
        <v>10</v>
      </c>
      <c r="O9">
        <v>10</v>
      </c>
      <c r="Q9">
        <v>0.65</v>
      </c>
      <c r="R9">
        <v>0.65</v>
      </c>
      <c r="S9" s="11">
        <v>0.59000000000000008</v>
      </c>
      <c r="U9" s="5">
        <f>9/16</f>
        <v>0.5625</v>
      </c>
      <c r="V9" s="5">
        <f>9/16</f>
        <v>0.5625</v>
      </c>
      <c r="W9">
        <v>0.8</v>
      </c>
      <c r="X9">
        <v>0.65</v>
      </c>
      <c r="Y9">
        <v>0.75</v>
      </c>
      <c r="Z9">
        <v>0.625</v>
      </c>
      <c r="AB9">
        <v>0.75</v>
      </c>
      <c r="AC9">
        <v>1.2</v>
      </c>
      <c r="AD9">
        <v>0.87</v>
      </c>
      <c r="AE9">
        <v>0.83</v>
      </c>
      <c r="AF9">
        <v>1.02</v>
      </c>
      <c r="AG9">
        <v>1.1000000000000001</v>
      </c>
      <c r="AH9">
        <v>0.98</v>
      </c>
      <c r="AI9">
        <v>1.26</v>
      </c>
      <c r="AJ9">
        <v>0.65</v>
      </c>
      <c r="AK9">
        <v>0.65</v>
      </c>
    </row>
    <row r="10" spans="1:37" ht="15.75" x14ac:dyDescent="0.25">
      <c r="A10" s="8" t="s">
        <v>316</v>
      </c>
      <c r="B10" t="str">
        <f t="shared" si="0"/>
        <v>EndSpray0.4062525</v>
      </c>
      <c r="C10">
        <f>13/32</f>
        <v>0.40625</v>
      </c>
      <c r="D10">
        <v>25</v>
      </c>
      <c r="E10" s="5">
        <v>0.119921845320819</v>
      </c>
      <c r="F10" s="5">
        <v>7.7724000000000002</v>
      </c>
      <c r="G10" s="5">
        <f t="shared" si="1"/>
        <v>1.8942589166955841</v>
      </c>
      <c r="H10" s="5">
        <f t="shared" si="2"/>
        <v>1.3879843208428124</v>
      </c>
      <c r="I10" s="5">
        <f t="shared" si="3"/>
        <v>6.3308053753293212</v>
      </c>
      <c r="K10" s="21"/>
      <c r="L10" s="8" t="s">
        <v>79</v>
      </c>
      <c r="M10" s="8" t="s">
        <v>97</v>
      </c>
      <c r="N10" s="7">
        <v>10</v>
      </c>
      <c r="O10">
        <v>11</v>
      </c>
      <c r="R10">
        <v>0.7</v>
      </c>
      <c r="S10" s="11">
        <v>0.63000000000000012</v>
      </c>
      <c r="W10">
        <v>0.9</v>
      </c>
      <c r="X10">
        <v>0.7</v>
      </c>
      <c r="Y10">
        <v>0.8</v>
      </c>
      <c r="Z10" s="7"/>
      <c r="AB10">
        <v>0.79</v>
      </c>
      <c r="AC10">
        <v>1.3</v>
      </c>
      <c r="AD10">
        <v>0.94</v>
      </c>
      <c r="AE10">
        <v>0.87</v>
      </c>
      <c r="AF10">
        <v>1.1000000000000001</v>
      </c>
      <c r="AG10">
        <v>1.18</v>
      </c>
      <c r="AH10">
        <v>1.02</v>
      </c>
      <c r="AI10">
        <v>1.34</v>
      </c>
      <c r="AK10">
        <v>0.7</v>
      </c>
    </row>
    <row r="11" spans="1:37" ht="15.75" x14ac:dyDescent="0.25">
      <c r="A11" s="8" t="s">
        <v>316</v>
      </c>
      <c r="B11" t="str">
        <f t="shared" si="0"/>
        <v>EndSpray0.510</v>
      </c>
      <c r="C11">
        <v>0.5</v>
      </c>
      <c r="D11">
        <v>10</v>
      </c>
      <c r="E11" s="5">
        <v>0.11665124953934211</v>
      </c>
      <c r="F11" s="5">
        <v>7.4676</v>
      </c>
      <c r="G11" s="5">
        <f t="shared" si="1"/>
        <v>1.8192591877012561</v>
      </c>
      <c r="H11" s="5">
        <f t="shared" si="2"/>
        <v>1.3501302030016447</v>
      </c>
      <c r="I11" s="5">
        <f t="shared" si="3"/>
        <v>6.4120192619028638</v>
      </c>
      <c r="K11" s="21"/>
      <c r="L11" s="8" t="s">
        <v>80</v>
      </c>
      <c r="M11" s="8" t="s">
        <v>98</v>
      </c>
      <c r="N11" s="7">
        <v>10</v>
      </c>
      <c r="O11">
        <v>12</v>
      </c>
      <c r="R11">
        <v>0.75</v>
      </c>
      <c r="S11" s="11">
        <v>0.67000000000000015</v>
      </c>
      <c r="X11">
        <v>0.75</v>
      </c>
      <c r="Y11">
        <v>0.85</v>
      </c>
      <c r="Z11" s="7"/>
      <c r="AB11">
        <v>0.83</v>
      </c>
      <c r="AC11">
        <v>1.4</v>
      </c>
      <c r="AD11">
        <v>1.02</v>
      </c>
      <c r="AE11">
        <v>0.91</v>
      </c>
      <c r="AF11">
        <v>1.18</v>
      </c>
      <c r="AG11">
        <v>1.26</v>
      </c>
      <c r="AH11">
        <v>1.06</v>
      </c>
      <c r="AI11">
        <v>1.42</v>
      </c>
      <c r="AK11">
        <v>0.75</v>
      </c>
    </row>
    <row r="12" spans="1:37" ht="15.75" x14ac:dyDescent="0.25">
      <c r="A12" s="8" t="s">
        <v>316</v>
      </c>
      <c r="B12" t="str">
        <f t="shared" si="0"/>
        <v>EndSpray0.515</v>
      </c>
      <c r="C12">
        <v>0.5</v>
      </c>
      <c r="D12">
        <v>15</v>
      </c>
      <c r="E12" s="5">
        <v>0.14281601579115716</v>
      </c>
      <c r="F12" s="5">
        <v>7.7724000000000002</v>
      </c>
      <c r="G12" s="5">
        <f t="shared" si="1"/>
        <v>1.8942589166955841</v>
      </c>
      <c r="H12" s="5">
        <f t="shared" si="2"/>
        <v>1.6529631457309855</v>
      </c>
      <c r="I12" s="5">
        <f t="shared" si="3"/>
        <v>7.5394136742558269</v>
      </c>
      <c r="K12" s="21"/>
      <c r="L12" t="s">
        <v>81</v>
      </c>
      <c r="M12" s="8" t="s">
        <v>99</v>
      </c>
      <c r="N12" s="7">
        <v>7.5</v>
      </c>
      <c r="O12">
        <v>13</v>
      </c>
      <c r="R12">
        <v>0.8</v>
      </c>
      <c r="S12" s="11">
        <v>0.71000000000000019</v>
      </c>
      <c r="X12">
        <v>0.8</v>
      </c>
      <c r="Y12">
        <v>0.9</v>
      </c>
      <c r="Z12" s="7"/>
      <c r="AB12">
        <v>0.87</v>
      </c>
      <c r="AD12">
        <v>1.1000000000000001</v>
      </c>
      <c r="AE12">
        <v>0.94</v>
      </c>
      <c r="AF12">
        <v>1.26</v>
      </c>
      <c r="AG12">
        <v>1.34</v>
      </c>
      <c r="AH12">
        <v>1.08</v>
      </c>
      <c r="AI12">
        <v>1.5</v>
      </c>
      <c r="AK12">
        <v>0.8</v>
      </c>
    </row>
    <row r="13" spans="1:37" x14ac:dyDescent="0.25">
      <c r="A13" s="8" t="s">
        <v>316</v>
      </c>
      <c r="B13" t="str">
        <f t="shared" si="0"/>
        <v>EndSpray0.520</v>
      </c>
      <c r="C13">
        <v>0.5</v>
      </c>
      <c r="D13">
        <v>20</v>
      </c>
      <c r="E13" s="5">
        <v>0.16516508696458254</v>
      </c>
      <c r="F13" s="5">
        <v>8.0772000000000013</v>
      </c>
      <c r="G13" s="5">
        <f t="shared" si="1"/>
        <v>1.9693170183915001</v>
      </c>
      <c r="H13" s="5">
        <f t="shared" si="2"/>
        <v>1.9116329509789645</v>
      </c>
      <c r="I13" s="5">
        <f t="shared" si="3"/>
        <v>8.3869222386290136</v>
      </c>
      <c r="L13" t="s">
        <v>82</v>
      </c>
      <c r="M13" s="8" t="s">
        <v>100</v>
      </c>
      <c r="N13" s="7">
        <v>7.5</v>
      </c>
      <c r="O13">
        <v>14</v>
      </c>
      <c r="R13">
        <v>0.85</v>
      </c>
      <c r="S13" s="11">
        <v>0.79000000000000015</v>
      </c>
      <c r="Y13">
        <v>1</v>
      </c>
      <c r="Z13" s="7"/>
      <c r="AB13">
        <v>0.91</v>
      </c>
      <c r="AE13">
        <v>1.02</v>
      </c>
      <c r="AF13">
        <v>1.34</v>
      </c>
      <c r="AG13">
        <v>1.42</v>
      </c>
      <c r="AH13">
        <v>1.1000000000000001</v>
      </c>
      <c r="AI13">
        <v>1.57</v>
      </c>
      <c r="AK13">
        <v>0.85</v>
      </c>
    </row>
    <row r="14" spans="1:37" ht="15.75" x14ac:dyDescent="0.25">
      <c r="A14" s="8" t="s">
        <v>316</v>
      </c>
      <c r="B14" t="str">
        <f t="shared" si="0"/>
        <v>EndSpray0.525</v>
      </c>
      <c r="C14">
        <v>0.5</v>
      </c>
      <c r="D14">
        <v>25</v>
      </c>
      <c r="E14" s="5">
        <v>0.184243562356531</v>
      </c>
      <c r="F14" s="5">
        <v>8.3819999999999997</v>
      </c>
      <c r="G14" s="5">
        <f t="shared" si="1"/>
        <v>2.0444334927890111</v>
      </c>
      <c r="H14" s="5">
        <f t="shared" si="2"/>
        <v>2.1324486383857755</v>
      </c>
      <c r="I14" s="5">
        <f t="shared" si="3"/>
        <v>9.0119616513025509</v>
      </c>
      <c r="L14" s="21" t="s">
        <v>291</v>
      </c>
      <c r="M14" s="8" t="s">
        <v>318</v>
      </c>
      <c r="N14" s="7"/>
      <c r="O14">
        <v>15</v>
      </c>
      <c r="R14">
        <v>0.9</v>
      </c>
      <c r="S14" s="11">
        <v>0.87000000000000011</v>
      </c>
      <c r="AB14">
        <v>0.94</v>
      </c>
      <c r="AE14">
        <v>1.1000000000000001</v>
      </c>
      <c r="AG14">
        <v>1.5</v>
      </c>
      <c r="AH14">
        <v>1.18</v>
      </c>
      <c r="AI14">
        <v>1.65</v>
      </c>
      <c r="AK14">
        <v>0.9</v>
      </c>
    </row>
    <row r="15" spans="1:37" ht="15.75" x14ac:dyDescent="0.25">
      <c r="A15" s="8" t="s">
        <v>316</v>
      </c>
      <c r="B15" t="str">
        <f t="shared" si="0"/>
        <v>EndSpray0.5937510</v>
      </c>
      <c r="C15">
        <f>19/32</f>
        <v>0.59375</v>
      </c>
      <c r="D15">
        <v>10</v>
      </c>
      <c r="E15" s="5">
        <v>0.16898078204297221</v>
      </c>
      <c r="F15" s="5">
        <v>8.2295999999999996</v>
      </c>
      <c r="G15" s="5">
        <f t="shared" si="1"/>
        <v>2.0068679590025624</v>
      </c>
      <c r="H15" s="5">
        <f t="shared" si="2"/>
        <v>1.9557960884603263</v>
      </c>
      <c r="I15" s="5">
        <f t="shared" si="3"/>
        <v>8.4201245669873419</v>
      </c>
      <c r="L15" s="21" t="s">
        <v>292</v>
      </c>
      <c r="M15" s="8" t="s">
        <v>319</v>
      </c>
      <c r="N15" s="7"/>
      <c r="O15">
        <v>16</v>
      </c>
      <c r="R15">
        <v>0.95</v>
      </c>
      <c r="S15" s="11">
        <v>0.94</v>
      </c>
      <c r="AE15">
        <v>1.18</v>
      </c>
      <c r="AH15">
        <v>1.28</v>
      </c>
      <c r="AI15">
        <v>1.73</v>
      </c>
      <c r="AK15">
        <v>0.95</v>
      </c>
    </row>
    <row r="16" spans="1:37" x14ac:dyDescent="0.25">
      <c r="A16" s="8" t="s">
        <v>316</v>
      </c>
      <c r="B16" t="str">
        <f t="shared" si="0"/>
        <v>EndSpray0.5937515</v>
      </c>
      <c r="C16">
        <f>19/32</f>
        <v>0.59375</v>
      </c>
      <c r="D16">
        <v>15</v>
      </c>
      <c r="E16" s="5">
        <v>0.20659263352995635</v>
      </c>
      <c r="F16" s="5">
        <v>8.5343999999999998</v>
      </c>
      <c r="G16" s="5">
        <f t="shared" si="1"/>
        <v>2.0820136197508745</v>
      </c>
      <c r="H16" s="5">
        <f t="shared" si="2"/>
        <v>2.3911184436337538</v>
      </c>
      <c r="I16" s="5">
        <f t="shared" si="3"/>
        <v>9.9227320883076846</v>
      </c>
      <c r="L16" t="s">
        <v>304</v>
      </c>
      <c r="M16" s="8" t="s">
        <v>320</v>
      </c>
      <c r="N16" s="7"/>
      <c r="O16">
        <v>17</v>
      </c>
      <c r="R16">
        <v>1</v>
      </c>
      <c r="AH16">
        <v>1.38</v>
      </c>
      <c r="AI16">
        <v>1.77</v>
      </c>
      <c r="AK16">
        <v>1</v>
      </c>
    </row>
    <row r="17" spans="1:34" x14ac:dyDescent="0.25">
      <c r="A17" s="8" t="s">
        <v>316</v>
      </c>
      <c r="B17" t="str">
        <f t="shared" si="0"/>
        <v>EndSpray0.5937520</v>
      </c>
      <c r="C17">
        <f>19/32</f>
        <v>0.59375</v>
      </c>
      <c r="D17">
        <v>20</v>
      </c>
      <c r="E17" s="5">
        <v>0.23875349204781235</v>
      </c>
      <c r="F17" s="5">
        <v>8.8391999999999999</v>
      </c>
      <c r="G17" s="5">
        <f t="shared" si="1"/>
        <v>2.1572176532007674</v>
      </c>
      <c r="H17" s="5">
        <f t="shared" si="2"/>
        <v>2.7633506024052354</v>
      </c>
      <c r="I17" s="5">
        <f t="shared" si="3"/>
        <v>11.067658921368565</v>
      </c>
      <c r="L17" t="s">
        <v>305</v>
      </c>
      <c r="M17" s="8" t="s">
        <v>321</v>
      </c>
      <c r="N17" s="7"/>
      <c r="O17">
        <v>18</v>
      </c>
      <c r="S17" s="11"/>
      <c r="AH17">
        <v>1.48</v>
      </c>
    </row>
    <row r="18" spans="1:34" x14ac:dyDescent="0.25">
      <c r="A18" s="8" t="s">
        <v>316</v>
      </c>
      <c r="B18" t="str">
        <f t="shared" si="0"/>
        <v>EndSpray0.5937525</v>
      </c>
      <c r="C18">
        <f>19/32</f>
        <v>0.59375</v>
      </c>
      <c r="D18">
        <v>25</v>
      </c>
      <c r="E18" s="5">
        <v>0.26655355619036586</v>
      </c>
      <c r="F18" s="5">
        <v>9.1440000000000001</v>
      </c>
      <c r="G18" s="5">
        <f t="shared" si="1"/>
        <v>2.2324800593522696</v>
      </c>
      <c r="H18" s="5">
        <f t="shared" si="2"/>
        <v>3.0851106040551604</v>
      </c>
      <c r="I18" s="5">
        <f t="shared" si="3"/>
        <v>11.939795613122008</v>
      </c>
      <c r="L18" t="s">
        <v>306</v>
      </c>
      <c r="M18" s="8" t="s">
        <v>322</v>
      </c>
      <c r="N18" s="7"/>
      <c r="O18">
        <v>19</v>
      </c>
      <c r="S18" s="11"/>
      <c r="AH18">
        <v>1.58</v>
      </c>
    </row>
    <row r="19" spans="1:34" x14ac:dyDescent="0.25">
      <c r="A19" s="8" t="s">
        <v>77</v>
      </c>
      <c r="B19" t="str">
        <f t="shared" si="0"/>
        <v>R55A0.4687515</v>
      </c>
      <c r="C19">
        <v>0.46875</v>
      </c>
      <c r="D19">
        <v>15</v>
      </c>
      <c r="E19" s="5">
        <v>0.1512</v>
      </c>
      <c r="F19" s="5">
        <v>12.2</v>
      </c>
      <c r="G19" s="5">
        <f t="shared" si="1"/>
        <v>2.9903061177635237</v>
      </c>
      <c r="H19" s="5">
        <f t="shared" si="2"/>
        <v>1.75</v>
      </c>
      <c r="I19" s="5">
        <f t="shared" si="3"/>
        <v>5.0563385167095802</v>
      </c>
      <c r="L19" t="s">
        <v>307</v>
      </c>
      <c r="M19" s="8" t="s">
        <v>323</v>
      </c>
      <c r="N19" s="7"/>
      <c r="O19">
        <v>20</v>
      </c>
      <c r="S19" s="11"/>
    </row>
    <row r="20" spans="1:34" x14ac:dyDescent="0.25">
      <c r="A20" s="8" t="s">
        <v>77</v>
      </c>
      <c r="B20" t="str">
        <f t="shared" si="0"/>
        <v>R55A0.4687520</v>
      </c>
      <c r="C20">
        <v>0.46875</v>
      </c>
      <c r="D20">
        <v>20</v>
      </c>
      <c r="E20" s="5">
        <v>0.17280000000000001</v>
      </c>
      <c r="F20" s="5">
        <v>13.1</v>
      </c>
      <c r="G20" s="5">
        <f t="shared" si="1"/>
        <v>3.2146064084518855</v>
      </c>
      <c r="H20" s="5">
        <f t="shared" si="2"/>
        <v>2</v>
      </c>
      <c r="I20" s="5">
        <f t="shared" si="3"/>
        <v>5.3754636818265515</v>
      </c>
      <c r="L20" t="s">
        <v>308</v>
      </c>
      <c r="M20" s="8" t="s">
        <v>324</v>
      </c>
      <c r="N20" s="7"/>
      <c r="O20">
        <v>21</v>
      </c>
      <c r="S20" s="11"/>
    </row>
    <row r="21" spans="1:34" x14ac:dyDescent="0.25">
      <c r="A21" s="8" t="s">
        <v>77</v>
      </c>
      <c r="B21" t="str">
        <f t="shared" si="0"/>
        <v>R55A0.4687525</v>
      </c>
      <c r="C21">
        <v>0.46875</v>
      </c>
      <c r="D21">
        <v>25</v>
      </c>
      <c r="E21" s="5">
        <v>0.19439999999999999</v>
      </c>
      <c r="F21" s="5">
        <v>13.7</v>
      </c>
      <c r="G21" s="5">
        <f t="shared" si="1"/>
        <v>3.3644226789162559</v>
      </c>
      <c r="H21" s="5">
        <f t="shared" si="2"/>
        <v>2.2499999999999996</v>
      </c>
      <c r="I21" s="5">
        <f t="shared" si="3"/>
        <v>5.7781087144086163</v>
      </c>
      <c r="L21" t="s">
        <v>309</v>
      </c>
      <c r="M21" s="8" t="s">
        <v>325</v>
      </c>
      <c r="N21" s="7"/>
      <c r="O21">
        <v>22</v>
      </c>
      <c r="S21" s="11"/>
    </row>
    <row r="22" spans="1:34" x14ac:dyDescent="0.25">
      <c r="A22" s="8" t="s">
        <v>77</v>
      </c>
      <c r="B22" t="str">
        <f t="shared" si="0"/>
        <v>R55A0.4687530</v>
      </c>
      <c r="C22">
        <v>0.46875</v>
      </c>
      <c r="D22">
        <v>30</v>
      </c>
      <c r="E22" s="5">
        <v>0.21120000000000003</v>
      </c>
      <c r="F22" s="5">
        <v>14</v>
      </c>
      <c r="G22" s="5">
        <f t="shared" si="1"/>
        <v>3.4394156371501055</v>
      </c>
      <c r="H22" s="5">
        <f t="shared" si="2"/>
        <v>2.4444444444444446</v>
      </c>
      <c r="I22" s="5">
        <f t="shared" si="3"/>
        <v>6.1405780016456522</v>
      </c>
      <c r="L22" t="s">
        <v>310</v>
      </c>
      <c r="M22" s="8" t="s">
        <v>326</v>
      </c>
      <c r="N22" s="7"/>
      <c r="O22">
        <v>23</v>
      </c>
    </row>
    <row r="23" spans="1:34" x14ac:dyDescent="0.25">
      <c r="A23" s="8" t="s">
        <v>77</v>
      </c>
      <c r="B23" t="str">
        <f t="shared" si="0"/>
        <v>R55A0.54687515</v>
      </c>
      <c r="C23">
        <v>0.546875</v>
      </c>
      <c r="D23">
        <v>15</v>
      </c>
      <c r="E23" s="5">
        <v>0.19920000000000002</v>
      </c>
      <c r="F23" s="5">
        <v>12.2</v>
      </c>
      <c r="G23" s="5">
        <f t="shared" si="1"/>
        <v>2.9903061177635237</v>
      </c>
      <c r="H23" s="5">
        <f t="shared" si="2"/>
        <v>2.3055555555555558</v>
      </c>
      <c r="I23" s="5">
        <f t="shared" si="3"/>
        <v>6.6615253474110343</v>
      </c>
      <c r="L23" t="s">
        <v>311</v>
      </c>
      <c r="M23" s="8" t="s">
        <v>327</v>
      </c>
      <c r="N23" s="7"/>
      <c r="O23">
        <v>24</v>
      </c>
    </row>
    <row r="24" spans="1:34" x14ac:dyDescent="0.25">
      <c r="A24" s="8" t="s">
        <v>77</v>
      </c>
      <c r="B24" t="str">
        <f t="shared" si="0"/>
        <v>R55A0.54687520</v>
      </c>
      <c r="C24">
        <v>0.546875</v>
      </c>
      <c r="D24">
        <v>20</v>
      </c>
      <c r="E24" s="5">
        <v>0.22800000000000001</v>
      </c>
      <c r="F24" s="5">
        <v>13.1</v>
      </c>
      <c r="G24" s="5">
        <f t="shared" si="1"/>
        <v>3.2146064084518855</v>
      </c>
      <c r="H24" s="5">
        <f t="shared" si="2"/>
        <v>2.6388888888888888</v>
      </c>
      <c r="I24" s="5">
        <f t="shared" si="3"/>
        <v>7.0926256912989221</v>
      </c>
      <c r="L24" t="s">
        <v>313</v>
      </c>
      <c r="M24" s="8" t="s">
        <v>328</v>
      </c>
      <c r="N24" s="7"/>
      <c r="O24">
        <v>25</v>
      </c>
    </row>
    <row r="25" spans="1:34" x14ac:dyDescent="0.25">
      <c r="A25" s="8" t="s">
        <v>77</v>
      </c>
      <c r="B25" t="str">
        <f t="shared" si="0"/>
        <v>R55A0.54687525</v>
      </c>
      <c r="C25">
        <v>0.546875</v>
      </c>
      <c r="D25">
        <v>25</v>
      </c>
      <c r="E25" s="5">
        <v>0.25439999999999996</v>
      </c>
      <c r="F25" s="5">
        <v>13.7</v>
      </c>
      <c r="G25" s="5">
        <f t="shared" si="1"/>
        <v>3.3644226789162559</v>
      </c>
      <c r="H25" s="5">
        <f t="shared" si="2"/>
        <v>2.9444444444444438</v>
      </c>
      <c r="I25" s="5">
        <f t="shared" si="3"/>
        <v>7.5614756015717681</v>
      </c>
      <c r="L25" t="s">
        <v>315</v>
      </c>
      <c r="M25" s="8" t="s">
        <v>329</v>
      </c>
      <c r="N25" s="7"/>
      <c r="O25">
        <v>26</v>
      </c>
    </row>
    <row r="26" spans="1:34" x14ac:dyDescent="0.25">
      <c r="A26" s="8" t="s">
        <v>77</v>
      </c>
      <c r="B26" t="str">
        <f t="shared" si="0"/>
        <v>R55A0.54687530</v>
      </c>
      <c r="C26">
        <v>0.546875</v>
      </c>
      <c r="D26">
        <v>30</v>
      </c>
      <c r="E26" s="5">
        <v>0.27839999999999998</v>
      </c>
      <c r="F26" s="5">
        <v>14</v>
      </c>
      <c r="G26" s="5">
        <f t="shared" si="1"/>
        <v>3.4394156371501055</v>
      </c>
      <c r="H26" s="5">
        <f t="shared" si="2"/>
        <v>3.2222222222222219</v>
      </c>
      <c r="I26" s="5">
        <f t="shared" si="3"/>
        <v>8.0943982748965393</v>
      </c>
    </row>
    <row r="27" spans="1:34" x14ac:dyDescent="0.25">
      <c r="A27" s="8" t="s">
        <v>77</v>
      </c>
      <c r="B27" t="str">
        <f t="shared" si="0"/>
        <v>R55A0.62515</v>
      </c>
      <c r="C27">
        <v>0.625</v>
      </c>
      <c r="D27">
        <v>15</v>
      </c>
      <c r="E27" s="5">
        <v>0.24720000000000003</v>
      </c>
      <c r="F27" s="5">
        <v>12.5</v>
      </c>
      <c r="G27" s="5">
        <f t="shared" si="1"/>
        <v>3.0650163326585442</v>
      </c>
      <c r="H27" s="5">
        <f t="shared" si="2"/>
        <v>2.8611111111111112</v>
      </c>
      <c r="I27" s="5">
        <f t="shared" si="3"/>
        <v>8.0652098772205516</v>
      </c>
    </row>
    <row r="28" spans="1:34" x14ac:dyDescent="0.25">
      <c r="A28" s="8" t="s">
        <v>77</v>
      </c>
      <c r="B28" t="str">
        <f t="shared" si="0"/>
        <v>R55A0.62520</v>
      </c>
      <c r="C28">
        <v>0.625</v>
      </c>
      <c r="D28">
        <v>20</v>
      </c>
      <c r="E28" s="5">
        <v>0.28079999999999994</v>
      </c>
      <c r="F28" s="5">
        <v>13.4</v>
      </c>
      <c r="G28" s="5">
        <f t="shared" si="1"/>
        <v>3.289486269350185</v>
      </c>
      <c r="H28" s="5">
        <f t="shared" si="2"/>
        <v>3.2499999999999991</v>
      </c>
      <c r="I28" s="5">
        <f t="shared" si="3"/>
        <v>8.536287341168018</v>
      </c>
    </row>
    <row r="29" spans="1:34" x14ac:dyDescent="0.25">
      <c r="A29" s="8" t="s">
        <v>77</v>
      </c>
      <c r="B29" t="str">
        <f t="shared" si="0"/>
        <v>R55A0.62525</v>
      </c>
      <c r="C29">
        <v>0.625</v>
      </c>
      <c r="D29">
        <v>25</v>
      </c>
      <c r="E29" s="5">
        <v>0.31439999999999996</v>
      </c>
      <c r="F29" s="5">
        <v>14</v>
      </c>
      <c r="G29" s="5">
        <f t="shared" si="1"/>
        <v>3.4394156371501055</v>
      </c>
      <c r="H29" s="5">
        <f t="shared" si="2"/>
        <v>3.6388888888888884</v>
      </c>
      <c r="I29" s="5">
        <f t="shared" si="3"/>
        <v>9.1410877069952292</v>
      </c>
    </row>
    <row r="30" spans="1:34" x14ac:dyDescent="0.25">
      <c r="A30" s="8" t="s">
        <v>77</v>
      </c>
      <c r="B30" t="str">
        <f t="shared" si="0"/>
        <v>R55A0.62530</v>
      </c>
      <c r="C30">
        <v>0.625</v>
      </c>
      <c r="D30">
        <v>30</v>
      </c>
      <c r="E30" s="5">
        <v>0.34320000000000006</v>
      </c>
      <c r="F30" s="5">
        <v>14.3</v>
      </c>
      <c r="G30" s="5">
        <f t="shared" si="1"/>
        <v>3.5144651440517194</v>
      </c>
      <c r="H30" s="5">
        <f t="shared" si="2"/>
        <v>3.9722222222222228</v>
      </c>
      <c r="I30" s="5">
        <f t="shared" si="3"/>
        <v>9.7653550663568467</v>
      </c>
    </row>
    <row r="31" spans="1:34" x14ac:dyDescent="0.25">
      <c r="A31" s="8" t="s">
        <v>77</v>
      </c>
      <c r="B31" t="str">
        <f t="shared" si="0"/>
        <v>R55A0.70312515</v>
      </c>
      <c r="C31">
        <v>0.703125</v>
      </c>
      <c r="D31">
        <v>15</v>
      </c>
      <c r="E31" s="5">
        <v>0.28320000000000006</v>
      </c>
      <c r="F31" s="5">
        <v>13.1</v>
      </c>
      <c r="G31" s="5">
        <f t="shared" si="1"/>
        <v>3.2146064084518855</v>
      </c>
      <c r="H31" s="5">
        <f t="shared" si="2"/>
        <v>3.2777777777777781</v>
      </c>
      <c r="I31" s="5">
        <f t="shared" si="3"/>
        <v>8.8097877007712952</v>
      </c>
    </row>
    <row r="32" spans="1:34" x14ac:dyDescent="0.25">
      <c r="A32" s="8" t="s">
        <v>77</v>
      </c>
      <c r="B32" t="str">
        <f t="shared" si="0"/>
        <v>R55A0.70312520</v>
      </c>
      <c r="C32">
        <v>0.703125</v>
      </c>
      <c r="D32">
        <v>20</v>
      </c>
      <c r="E32" s="5">
        <v>0.32639999999999997</v>
      </c>
      <c r="F32" s="5">
        <v>14</v>
      </c>
      <c r="G32" s="5">
        <f t="shared" si="1"/>
        <v>3.4394156371501055</v>
      </c>
      <c r="H32" s="5">
        <f t="shared" si="2"/>
        <v>3.7777777777777772</v>
      </c>
      <c r="I32" s="5">
        <f t="shared" si="3"/>
        <v>9.489984184361461</v>
      </c>
    </row>
    <row r="33" spans="1:9" x14ac:dyDescent="0.25">
      <c r="A33" s="8" t="s">
        <v>77</v>
      </c>
      <c r="B33" t="str">
        <f t="shared" si="0"/>
        <v>R55A0.70312525</v>
      </c>
      <c r="C33">
        <v>0.703125</v>
      </c>
      <c r="D33">
        <v>25</v>
      </c>
      <c r="E33" s="5">
        <v>0.3624</v>
      </c>
      <c r="F33" s="5">
        <v>14.6</v>
      </c>
      <c r="G33" s="5">
        <f t="shared" si="1"/>
        <v>3.5895711996210906</v>
      </c>
      <c r="H33" s="5">
        <f t="shared" si="2"/>
        <v>4.1944444444444446</v>
      </c>
      <c r="I33" s="5">
        <f t="shared" si="3"/>
        <v>10.095913407101504</v>
      </c>
    </row>
    <row r="34" spans="1:9" x14ac:dyDescent="0.25">
      <c r="A34" s="8" t="s">
        <v>77</v>
      </c>
      <c r="B34" t="str">
        <f t="shared" si="0"/>
        <v>R55A0.70312530</v>
      </c>
      <c r="C34">
        <v>0.703125</v>
      </c>
      <c r="D34">
        <v>30</v>
      </c>
      <c r="E34" s="5">
        <v>0.39840000000000003</v>
      </c>
      <c r="F34" s="5">
        <v>14.9</v>
      </c>
      <c r="G34" s="5">
        <f t="shared" si="1"/>
        <v>3.6647338038582191</v>
      </c>
      <c r="H34" s="5">
        <f t="shared" si="2"/>
        <v>4.6111111111111116</v>
      </c>
      <c r="I34" s="5">
        <f t="shared" si="3"/>
        <v>10.871185229894895</v>
      </c>
    </row>
    <row r="35" spans="1:9" x14ac:dyDescent="0.25">
      <c r="A35" s="8" t="s">
        <v>291</v>
      </c>
      <c r="B35" t="str">
        <f t="shared" si="0"/>
        <v>R55i VT0.4062515</v>
      </c>
      <c r="C35">
        <v>0.40625</v>
      </c>
      <c r="D35">
        <v>15</v>
      </c>
      <c r="E35" s="5">
        <v>0.10247866781960896</v>
      </c>
      <c r="F35" s="5">
        <v>11.5824</v>
      </c>
      <c r="G35" s="5">
        <f t="shared" si="1"/>
        <v>2.8366807258215161</v>
      </c>
      <c r="H35" s="5">
        <f t="shared" si="2"/>
        <v>1.1860956923565851</v>
      </c>
      <c r="I35" s="5">
        <f t="shared" si="3"/>
        <v>3.6126260839570037</v>
      </c>
    </row>
    <row r="36" spans="1:9" x14ac:dyDescent="0.25">
      <c r="A36" s="8" t="s">
        <v>291</v>
      </c>
      <c r="B36" t="str">
        <f t="shared" si="0"/>
        <v>R55i VT0.4062520</v>
      </c>
      <c r="C36">
        <v>0.40625</v>
      </c>
      <c r="D36">
        <v>20</v>
      </c>
      <c r="E36" s="5">
        <v>0.11774144813316775</v>
      </c>
      <c r="F36" s="5">
        <v>12.192</v>
      </c>
      <c r="G36" s="5">
        <f t="shared" si="1"/>
        <v>2.988314619454755</v>
      </c>
      <c r="H36" s="5">
        <f t="shared" si="2"/>
        <v>1.3627482422820341</v>
      </c>
      <c r="I36" s="5">
        <f t="shared" si="3"/>
        <v>3.9400619789709679</v>
      </c>
    </row>
    <row r="37" spans="1:9" x14ac:dyDescent="0.25">
      <c r="A37" s="8" t="s">
        <v>291</v>
      </c>
      <c r="B37" t="str">
        <f t="shared" si="0"/>
        <v>R55i VT0.4062525</v>
      </c>
      <c r="C37">
        <v>0.40625</v>
      </c>
      <c r="D37">
        <v>25</v>
      </c>
      <c r="E37" s="5">
        <v>0.1324591291498137</v>
      </c>
      <c r="F37" s="5">
        <v>13.106400000000001</v>
      </c>
      <c r="G37" s="5">
        <f t="shared" si="1"/>
        <v>3.2162032551665547</v>
      </c>
      <c r="H37" s="5">
        <f t="shared" si="2"/>
        <v>1.5330917725672881</v>
      </c>
      <c r="I37" s="5">
        <f t="shared" si="3"/>
        <v>4.1184937219695135</v>
      </c>
    </row>
    <row r="38" spans="1:9" x14ac:dyDescent="0.25">
      <c r="A38" s="8" t="s">
        <v>291</v>
      </c>
      <c r="B38" t="str">
        <f t="shared" si="0"/>
        <v>R55i VT0.4062530</v>
      </c>
      <c r="C38">
        <v>0.40625</v>
      </c>
      <c r="D38">
        <v>30</v>
      </c>
      <c r="E38" s="5">
        <v>0.14554151227572124</v>
      </c>
      <c r="F38" s="5">
        <v>13.411200000000001</v>
      </c>
      <c r="G38" s="5">
        <f t="shared" si="1"/>
        <v>3.2922828791403305</v>
      </c>
      <c r="H38" s="5">
        <f t="shared" si="2"/>
        <v>1.6845082439319587</v>
      </c>
      <c r="I38" s="5">
        <f t="shared" si="3"/>
        <v>4.4206867276764665</v>
      </c>
    </row>
    <row r="39" spans="1:9" x14ac:dyDescent="0.25">
      <c r="A39" s="8" t="s">
        <v>291</v>
      </c>
      <c r="B39" t="str">
        <f t="shared" si="0"/>
        <v>R55i VT0.4062535</v>
      </c>
      <c r="C39">
        <v>0.40625</v>
      </c>
      <c r="D39">
        <v>35</v>
      </c>
      <c r="E39" s="5">
        <v>0.15807879610471595</v>
      </c>
      <c r="F39" s="5">
        <v>13.716000000000001</v>
      </c>
      <c r="G39" s="5">
        <f t="shared" si="1"/>
        <v>3.3684208758157013</v>
      </c>
      <c r="H39" s="5">
        <f t="shared" si="2"/>
        <v>1.8296156956564344</v>
      </c>
      <c r="I39" s="5">
        <f t="shared" si="3"/>
        <v>4.6929645057028502</v>
      </c>
    </row>
    <row r="40" spans="1:9" x14ac:dyDescent="0.25">
      <c r="A40" s="8" t="s">
        <v>291</v>
      </c>
      <c r="B40" t="str">
        <f t="shared" si="0"/>
        <v>R55i VT0.4062540</v>
      </c>
      <c r="C40">
        <v>0.40625</v>
      </c>
      <c r="D40">
        <v>40</v>
      </c>
      <c r="E40" s="5">
        <v>0.17007098063679785</v>
      </c>
      <c r="F40" s="5">
        <v>14.020800000000001</v>
      </c>
      <c r="G40" s="5">
        <f t="shared" si="1"/>
        <v>3.4446172451926742</v>
      </c>
      <c r="H40" s="5">
        <f t="shared" si="2"/>
        <v>1.9684141277407157</v>
      </c>
      <c r="I40" s="5">
        <f t="shared" si="3"/>
        <v>4.9372969050233317</v>
      </c>
    </row>
    <row r="41" spans="1:9" x14ac:dyDescent="0.25">
      <c r="A41" s="8" t="s">
        <v>291</v>
      </c>
      <c r="B41" t="str">
        <f t="shared" si="0"/>
        <v>R55i VT0.4062545</v>
      </c>
      <c r="C41">
        <v>0.40625</v>
      </c>
      <c r="D41">
        <v>45</v>
      </c>
      <c r="E41" s="5">
        <v>0.18042786727814131</v>
      </c>
      <c r="F41" s="5">
        <v>14.325600000000001</v>
      </c>
      <c r="G41" s="5">
        <f t="shared" si="1"/>
        <v>3.520871987271228</v>
      </c>
      <c r="H41" s="5">
        <f t="shared" si="2"/>
        <v>2.088285500904413</v>
      </c>
      <c r="I41" s="5">
        <f t="shared" si="3"/>
        <v>5.1245222186557777</v>
      </c>
    </row>
    <row r="42" spans="1:9" x14ac:dyDescent="0.25">
      <c r="A42" s="8" t="s">
        <v>291</v>
      </c>
      <c r="B42" t="str">
        <f t="shared" si="0"/>
        <v>R55i VT0.4062550</v>
      </c>
      <c r="C42">
        <v>0.40625</v>
      </c>
      <c r="D42">
        <v>50</v>
      </c>
      <c r="E42" s="5">
        <v>0.19023965462257192</v>
      </c>
      <c r="F42" s="5">
        <v>14.325600000000001</v>
      </c>
      <c r="G42" s="5">
        <f t="shared" si="1"/>
        <v>3.520871987271228</v>
      </c>
      <c r="H42" s="5">
        <f t="shared" si="2"/>
        <v>2.2018478544279154</v>
      </c>
      <c r="I42" s="5">
        <f t="shared" si="3"/>
        <v>5.4031971429331307</v>
      </c>
    </row>
    <row r="43" spans="1:9" x14ac:dyDescent="0.25">
      <c r="A43" s="8" t="s">
        <v>291</v>
      </c>
      <c r="B43" t="str">
        <f t="shared" si="0"/>
        <v>R55i VT0.4062555</v>
      </c>
      <c r="C43">
        <v>0.40625</v>
      </c>
      <c r="D43">
        <v>55</v>
      </c>
      <c r="E43" s="5">
        <v>0.19896124337317694</v>
      </c>
      <c r="F43" s="5">
        <v>14.630400000000002</v>
      </c>
      <c r="G43" s="5">
        <f t="shared" si="1"/>
        <v>3.5971851020513768</v>
      </c>
      <c r="H43" s="5">
        <f t="shared" si="2"/>
        <v>2.3027921686710293</v>
      </c>
      <c r="I43" s="5">
        <f t="shared" si="3"/>
        <v>5.5310260030743139</v>
      </c>
    </row>
    <row r="44" spans="1:9" x14ac:dyDescent="0.25">
      <c r="A44" s="8" t="s">
        <v>291</v>
      </c>
      <c r="B44" t="str">
        <f t="shared" si="0"/>
        <v>R55i VT0.4062560</v>
      </c>
      <c r="C44">
        <v>0.40625</v>
      </c>
      <c r="D44">
        <v>60</v>
      </c>
      <c r="E44" s="5">
        <v>0.20659263352995633</v>
      </c>
      <c r="F44" s="5">
        <v>14.9352</v>
      </c>
      <c r="G44" s="5">
        <f t="shared" si="1"/>
        <v>3.6735565895331206</v>
      </c>
      <c r="H44" s="5">
        <f t="shared" si="2"/>
        <v>2.3911184436337538</v>
      </c>
      <c r="I44" s="5">
        <f t="shared" si="3"/>
        <v>5.6237770807339755</v>
      </c>
    </row>
    <row r="45" spans="1:9" x14ac:dyDescent="0.25">
      <c r="A45" s="8" t="s">
        <v>291</v>
      </c>
      <c r="B45" t="str">
        <f t="shared" si="0"/>
        <v>R55i VT0.437515</v>
      </c>
      <c r="C45">
        <v>0.4375</v>
      </c>
      <c r="D45">
        <v>15</v>
      </c>
      <c r="E45" s="5">
        <v>0.12809833477451121</v>
      </c>
      <c r="F45" s="5">
        <v>11.5824</v>
      </c>
      <c r="G45" s="5">
        <f t="shared" si="1"/>
        <v>2.8366807258215161</v>
      </c>
      <c r="H45" s="5">
        <f t="shared" si="2"/>
        <v>1.4826196154457316</v>
      </c>
      <c r="I45" s="5">
        <f t="shared" si="3"/>
        <v>4.5157826049462555</v>
      </c>
    </row>
    <row r="46" spans="1:9" x14ac:dyDescent="0.25">
      <c r="A46" s="8" t="s">
        <v>291</v>
      </c>
      <c r="B46" t="str">
        <f t="shared" si="0"/>
        <v>R55i VT0.437520</v>
      </c>
      <c r="C46">
        <v>0.4375</v>
      </c>
      <c r="D46">
        <v>20</v>
      </c>
      <c r="E46" s="5">
        <v>0.14717681016645967</v>
      </c>
      <c r="F46" s="5">
        <v>12.4968</v>
      </c>
      <c r="G46" s="5">
        <f t="shared" si="1"/>
        <v>3.0642191253237598</v>
      </c>
      <c r="H46" s="5">
        <f t="shared" si="2"/>
        <v>1.7034353028525424</v>
      </c>
      <c r="I46" s="5">
        <f t="shared" si="3"/>
        <v>4.8030771999998283</v>
      </c>
    </row>
    <row r="47" spans="1:9" x14ac:dyDescent="0.25">
      <c r="A47" s="8" t="s">
        <v>291</v>
      </c>
      <c r="B47" t="str">
        <f t="shared" si="0"/>
        <v>R55i VT0.437525</v>
      </c>
      <c r="C47">
        <v>0.4375</v>
      </c>
      <c r="D47">
        <v>25</v>
      </c>
      <c r="E47" s="5">
        <v>0.16516508696458251</v>
      </c>
      <c r="F47" s="5">
        <v>13.411200000000001</v>
      </c>
      <c r="G47" s="5">
        <f t="shared" si="1"/>
        <v>3.2922828791403305</v>
      </c>
      <c r="H47" s="5">
        <f t="shared" si="2"/>
        <v>1.9116329509789642</v>
      </c>
      <c r="I47" s="5">
        <f t="shared" si="3"/>
        <v>5.0167343763519456</v>
      </c>
    </row>
    <row r="48" spans="1:9" x14ac:dyDescent="0.25">
      <c r="A48" s="8" t="s">
        <v>291</v>
      </c>
      <c r="B48" t="str">
        <f t="shared" si="0"/>
        <v>R55i VT0.437530</v>
      </c>
      <c r="C48">
        <v>0.4375</v>
      </c>
      <c r="D48">
        <v>30</v>
      </c>
      <c r="E48" s="5">
        <v>0.18206316516887977</v>
      </c>
      <c r="F48" s="5">
        <v>13.716000000000001</v>
      </c>
      <c r="G48" s="5">
        <f t="shared" si="1"/>
        <v>3.3684208758157013</v>
      </c>
      <c r="H48" s="5">
        <f t="shared" si="2"/>
        <v>2.1072125598249971</v>
      </c>
      <c r="I48" s="5">
        <f t="shared" si="3"/>
        <v>5.4050004996715595</v>
      </c>
    </row>
    <row r="49" spans="1:9" x14ac:dyDescent="0.25">
      <c r="A49" s="8" t="s">
        <v>291</v>
      </c>
      <c r="B49" t="str">
        <f t="shared" si="0"/>
        <v>R55i VT0.437535</v>
      </c>
      <c r="C49">
        <v>0.4375</v>
      </c>
      <c r="D49">
        <v>35</v>
      </c>
      <c r="E49" s="5">
        <v>0.19732594548243854</v>
      </c>
      <c r="F49" s="5">
        <v>14.020800000000001</v>
      </c>
      <c r="G49" s="5">
        <f t="shared" si="1"/>
        <v>3.4446172451926742</v>
      </c>
      <c r="H49" s="5">
        <f t="shared" si="2"/>
        <v>2.2838651097504461</v>
      </c>
      <c r="I49" s="5">
        <f t="shared" si="3"/>
        <v>5.7285303833924557</v>
      </c>
    </row>
    <row r="50" spans="1:9" x14ac:dyDescent="0.25">
      <c r="A50" s="8" t="s">
        <v>291</v>
      </c>
      <c r="B50" t="str">
        <f t="shared" si="0"/>
        <v>R55i VT0.437540</v>
      </c>
      <c r="C50">
        <v>0.4375</v>
      </c>
      <c r="D50">
        <v>40</v>
      </c>
      <c r="E50" s="5">
        <v>0.21204362649908445</v>
      </c>
      <c r="F50" s="5">
        <v>14.325600000000001</v>
      </c>
      <c r="G50" s="5">
        <f t="shared" si="1"/>
        <v>3.520871987271228</v>
      </c>
      <c r="H50" s="5">
        <f t="shared" si="2"/>
        <v>2.4542086400356995</v>
      </c>
      <c r="I50" s="5">
        <f t="shared" si="3"/>
        <v>6.0224747524383604</v>
      </c>
    </row>
    <row r="51" spans="1:9" x14ac:dyDescent="0.25">
      <c r="A51" s="8" t="s">
        <v>291</v>
      </c>
      <c r="B51" t="str">
        <f t="shared" si="0"/>
        <v>R55i VT0.437545</v>
      </c>
      <c r="C51">
        <v>0.4375</v>
      </c>
      <c r="D51">
        <v>45</v>
      </c>
      <c r="E51" s="5">
        <v>0.22512600962499202</v>
      </c>
      <c r="F51" s="5">
        <v>14.630400000000002</v>
      </c>
      <c r="G51" s="5">
        <f t="shared" si="1"/>
        <v>3.5971851020513768</v>
      </c>
      <c r="H51" s="5">
        <f t="shared" si="2"/>
        <v>2.6056251114003706</v>
      </c>
      <c r="I51" s="5">
        <f t="shared" si="3"/>
        <v>6.2583938062183337</v>
      </c>
    </row>
    <row r="52" spans="1:9" x14ac:dyDescent="0.25">
      <c r="A52" s="8" t="s">
        <v>291</v>
      </c>
      <c r="B52" t="str">
        <f t="shared" si="0"/>
        <v>R55i VT0.437550</v>
      </c>
      <c r="C52">
        <v>0.4375</v>
      </c>
      <c r="D52">
        <v>50</v>
      </c>
      <c r="E52" s="5">
        <v>0.23657309486016107</v>
      </c>
      <c r="F52" s="5">
        <v>14.630400000000002</v>
      </c>
      <c r="G52" s="5">
        <f t="shared" si="1"/>
        <v>3.5971851020513768</v>
      </c>
      <c r="H52" s="5">
        <f t="shared" si="2"/>
        <v>2.7381145238444566</v>
      </c>
      <c r="I52" s="5">
        <f t="shared" si="3"/>
        <v>6.5766172200938415</v>
      </c>
    </row>
    <row r="53" spans="1:9" x14ac:dyDescent="0.25">
      <c r="A53" s="8" t="s">
        <v>291</v>
      </c>
      <c r="B53" t="str">
        <f t="shared" si="0"/>
        <v>R55i VT0.437555</v>
      </c>
      <c r="C53">
        <v>0.4375</v>
      </c>
      <c r="D53">
        <v>55</v>
      </c>
      <c r="E53" s="5">
        <v>0.2474750807984174</v>
      </c>
      <c r="F53" s="5">
        <v>14.9352</v>
      </c>
      <c r="G53" s="5">
        <f t="shared" si="1"/>
        <v>3.6735565895331206</v>
      </c>
      <c r="H53" s="5">
        <f t="shared" si="2"/>
        <v>2.8642949166483493</v>
      </c>
      <c r="I53" s="5">
        <f t="shared" si="3"/>
        <v>6.7366617273172187</v>
      </c>
    </row>
    <row r="54" spans="1:9" x14ac:dyDescent="0.25">
      <c r="A54" s="8" t="s">
        <v>291</v>
      </c>
      <c r="B54" t="str">
        <f t="shared" si="0"/>
        <v>R55i VT0.437560</v>
      </c>
      <c r="C54">
        <v>0.4375</v>
      </c>
      <c r="D54">
        <v>60</v>
      </c>
      <c r="E54" s="5">
        <v>0.25674176884593525</v>
      </c>
      <c r="F54" s="5">
        <v>14.9352</v>
      </c>
      <c r="G54" s="5">
        <f t="shared" si="1"/>
        <v>3.6735565895331206</v>
      </c>
      <c r="H54" s="5">
        <f t="shared" si="2"/>
        <v>2.9715482505316579</v>
      </c>
      <c r="I54" s="5">
        <f t="shared" si="3"/>
        <v>6.9889155805427521</v>
      </c>
    </row>
    <row r="55" spans="1:9" x14ac:dyDescent="0.25">
      <c r="A55" s="8" t="s">
        <v>291</v>
      </c>
      <c r="B55" t="str">
        <f t="shared" si="0"/>
        <v>R55i VT0.4687515</v>
      </c>
      <c r="C55">
        <v>0.46875</v>
      </c>
      <c r="D55">
        <v>15</v>
      </c>
      <c r="E55" s="5">
        <v>0.15262780313558783</v>
      </c>
      <c r="F55" s="5">
        <v>11.277600000000001</v>
      </c>
      <c r="G55" s="5">
        <f t="shared" si="1"/>
        <v>2.7609513380572892</v>
      </c>
      <c r="H55" s="5">
        <f t="shared" si="2"/>
        <v>1.7665254992544885</v>
      </c>
      <c r="I55" s="5">
        <f t="shared" si="3"/>
        <v>5.5280874034883416</v>
      </c>
    </row>
    <row r="56" spans="1:9" x14ac:dyDescent="0.25">
      <c r="A56" s="8" t="s">
        <v>291</v>
      </c>
      <c r="B56" t="str">
        <f t="shared" si="0"/>
        <v>R55i VT0.4687520</v>
      </c>
      <c r="C56">
        <v>0.46875</v>
      </c>
      <c r="D56">
        <v>20</v>
      </c>
      <c r="E56" s="5">
        <v>0.17497687430901315</v>
      </c>
      <c r="F56" s="5">
        <v>12.192</v>
      </c>
      <c r="G56" s="5">
        <f t="shared" si="1"/>
        <v>2.988314619454755</v>
      </c>
      <c r="H56" s="5">
        <f t="shared" si="2"/>
        <v>2.0251953045024669</v>
      </c>
      <c r="I56" s="5">
        <f t="shared" si="3"/>
        <v>5.855369885415187</v>
      </c>
    </row>
    <row r="57" spans="1:9" x14ac:dyDescent="0.25">
      <c r="A57" s="8" t="s">
        <v>291</v>
      </c>
      <c r="B57" t="str">
        <f t="shared" si="0"/>
        <v>R55i VT0.4687525</v>
      </c>
      <c r="C57">
        <v>0.46875</v>
      </c>
      <c r="D57">
        <v>25</v>
      </c>
      <c r="E57" s="5">
        <v>0.19678084618552572</v>
      </c>
      <c r="F57" s="5">
        <v>12.801600000000001</v>
      </c>
      <c r="G57" s="5">
        <f t="shared" si="1"/>
        <v>3.1401820038943598</v>
      </c>
      <c r="H57" s="5">
        <f t="shared" si="2"/>
        <v>2.2775560901102514</v>
      </c>
      <c r="I57" s="5">
        <f t="shared" si="3"/>
        <v>6.2665427017123214</v>
      </c>
    </row>
    <row r="58" spans="1:9" x14ac:dyDescent="0.25">
      <c r="A58" s="8" t="s">
        <v>291</v>
      </c>
      <c r="B58" t="str">
        <f t="shared" si="0"/>
        <v>R55i VT0.4687530</v>
      </c>
      <c r="C58">
        <v>0.46875</v>
      </c>
      <c r="D58">
        <v>30</v>
      </c>
      <c r="E58" s="5">
        <v>0.21640442087438702</v>
      </c>
      <c r="F58" s="5">
        <v>13.411200000000001</v>
      </c>
      <c r="G58" s="5">
        <f t="shared" si="1"/>
        <v>3.2922828791403305</v>
      </c>
      <c r="H58" s="5">
        <f t="shared" si="2"/>
        <v>2.5046807971572571</v>
      </c>
      <c r="I58" s="5">
        <f t="shared" si="3"/>
        <v>6.5730810145601408</v>
      </c>
    </row>
    <row r="59" spans="1:9" x14ac:dyDescent="0.25">
      <c r="A59" s="8" t="s">
        <v>291</v>
      </c>
      <c r="B59" t="str">
        <f t="shared" si="0"/>
        <v>R55i VT0.4687535</v>
      </c>
      <c r="C59">
        <v>0.46875</v>
      </c>
      <c r="D59">
        <v>35</v>
      </c>
      <c r="E59" s="5">
        <v>0.23493779696942266</v>
      </c>
      <c r="F59" s="5">
        <v>13.716000000000001</v>
      </c>
      <c r="G59" s="5">
        <f t="shared" si="1"/>
        <v>3.3684208758157013</v>
      </c>
      <c r="H59" s="5">
        <f t="shared" si="2"/>
        <v>2.7191874649238734</v>
      </c>
      <c r="I59" s="5">
        <f t="shared" si="3"/>
        <v>6.974716213648029</v>
      </c>
    </row>
    <row r="60" spans="1:9" x14ac:dyDescent="0.25">
      <c r="A60" s="8" t="s">
        <v>291</v>
      </c>
      <c r="B60" t="str">
        <f t="shared" si="0"/>
        <v>R55i VT0.4687540</v>
      </c>
      <c r="C60">
        <v>0.46875</v>
      </c>
      <c r="D60">
        <v>40</v>
      </c>
      <c r="E60" s="5">
        <v>0.25183587517371991</v>
      </c>
      <c r="F60" s="5">
        <v>14.325600000000001</v>
      </c>
      <c r="G60" s="5">
        <f t="shared" si="1"/>
        <v>3.520871987271228</v>
      </c>
      <c r="H60" s="5">
        <f t="shared" si="2"/>
        <v>2.9147670737699061</v>
      </c>
      <c r="I60" s="5">
        <f t="shared" si="3"/>
        <v>7.152656389785407</v>
      </c>
    </row>
    <row r="61" spans="1:9" x14ac:dyDescent="0.25">
      <c r="A61" s="8" t="s">
        <v>291</v>
      </c>
      <c r="B61" t="str">
        <f t="shared" si="0"/>
        <v>R55i VT0.4687545</v>
      </c>
      <c r="C61">
        <v>0.46875</v>
      </c>
      <c r="D61">
        <v>45</v>
      </c>
      <c r="E61" s="5">
        <v>0.26709865548727862</v>
      </c>
      <c r="F61" s="5">
        <v>14.630400000000002</v>
      </c>
      <c r="G61" s="5">
        <f t="shared" si="1"/>
        <v>3.5971851020513768</v>
      </c>
      <c r="H61" s="5">
        <f t="shared" si="2"/>
        <v>3.0914196236953542</v>
      </c>
      <c r="I61" s="5">
        <f t="shared" si="3"/>
        <v>7.4252129904285313</v>
      </c>
    </row>
    <row r="62" spans="1:9" x14ac:dyDescent="0.25">
      <c r="A62" s="8" t="s">
        <v>291</v>
      </c>
      <c r="B62" t="str">
        <f t="shared" si="0"/>
        <v>R55i VT0.4687550</v>
      </c>
      <c r="C62">
        <v>0.46875</v>
      </c>
      <c r="D62">
        <v>50</v>
      </c>
      <c r="E62" s="5">
        <v>0.28127123720701186</v>
      </c>
      <c r="F62" s="5">
        <v>14.630400000000002</v>
      </c>
      <c r="G62" s="5">
        <f t="shared" si="1"/>
        <v>3.5971851020513768</v>
      </c>
      <c r="H62" s="5">
        <f t="shared" si="2"/>
        <v>3.2554541343404151</v>
      </c>
      <c r="I62" s="5">
        <f t="shared" si="3"/>
        <v>7.8192038837982105</v>
      </c>
    </row>
    <row r="63" spans="1:9" x14ac:dyDescent="0.25">
      <c r="A63" s="8" t="s">
        <v>291</v>
      </c>
      <c r="B63" t="str">
        <f t="shared" si="0"/>
        <v>R55i VT0.4687555</v>
      </c>
      <c r="C63">
        <v>0.46875</v>
      </c>
      <c r="D63">
        <v>55</v>
      </c>
      <c r="E63" s="5">
        <v>0.29435362033291934</v>
      </c>
      <c r="F63" s="5">
        <v>14.9352</v>
      </c>
      <c r="G63" s="5">
        <f t="shared" si="1"/>
        <v>3.6735565895331206</v>
      </c>
      <c r="H63" s="5">
        <f t="shared" si="2"/>
        <v>3.4068706057050848</v>
      </c>
      <c r="I63" s="5">
        <f t="shared" si="3"/>
        <v>8.0127694553993329</v>
      </c>
    </row>
    <row r="64" spans="1:9" x14ac:dyDescent="0.25">
      <c r="A64" s="8" t="s">
        <v>291</v>
      </c>
      <c r="B64" t="str">
        <f t="shared" si="0"/>
        <v>R55i VT0.4687560</v>
      </c>
      <c r="C64">
        <v>0.46875</v>
      </c>
      <c r="D64">
        <v>60</v>
      </c>
      <c r="E64" s="5">
        <v>0.30525560627117565</v>
      </c>
      <c r="F64" s="5">
        <v>14.9352</v>
      </c>
      <c r="G64" s="5">
        <f t="shared" si="1"/>
        <v>3.6735565895331206</v>
      </c>
      <c r="H64" s="5">
        <f t="shared" si="2"/>
        <v>3.5330509985089771</v>
      </c>
      <c r="I64" s="5">
        <f t="shared" si="3"/>
        <v>8.3095386944881984</v>
      </c>
    </row>
    <row r="65" spans="1:9" x14ac:dyDescent="0.25">
      <c r="A65" s="8" t="s">
        <v>291</v>
      </c>
      <c r="B65" t="str">
        <f t="shared" si="0"/>
        <v>R55i VT0.507812515</v>
      </c>
      <c r="C65">
        <v>0.5078125</v>
      </c>
      <c r="D65">
        <v>15</v>
      </c>
      <c r="E65" s="5">
        <v>0.17988276798122849</v>
      </c>
      <c r="F65" s="5">
        <v>11.277600000000001</v>
      </c>
      <c r="G65" s="5">
        <f t="shared" si="1"/>
        <v>2.7609513380572892</v>
      </c>
      <c r="H65" s="5">
        <f t="shared" si="2"/>
        <v>2.0819764812642183</v>
      </c>
      <c r="I65" s="5">
        <f t="shared" si="3"/>
        <v>6.5152458683969741</v>
      </c>
    </row>
    <row r="66" spans="1:9" x14ac:dyDescent="0.25">
      <c r="A66" s="8" t="s">
        <v>291</v>
      </c>
      <c r="B66" t="str">
        <f t="shared" si="0"/>
        <v>R55i VT0.507812520</v>
      </c>
      <c r="C66">
        <v>0.5078125</v>
      </c>
      <c r="D66">
        <v>20</v>
      </c>
      <c r="E66" s="5">
        <v>0.20713773282686918</v>
      </c>
      <c r="F66" s="5">
        <v>12.192</v>
      </c>
      <c r="G66" s="5">
        <f t="shared" si="1"/>
        <v>2.988314619454755</v>
      </c>
      <c r="H66" s="5">
        <f t="shared" si="2"/>
        <v>2.3974274632739485</v>
      </c>
      <c r="I66" s="5">
        <f t="shared" si="3"/>
        <v>6.9315905185600348</v>
      </c>
    </row>
    <row r="67" spans="1:9" x14ac:dyDescent="0.25">
      <c r="A67" s="8" t="s">
        <v>291</v>
      </c>
      <c r="B67" t="str">
        <f t="shared" ref="B67:B130" si="4">A67&amp;C67&amp;D67</f>
        <v>R55i VT0.507812525</v>
      </c>
      <c r="C67">
        <v>0.5078125</v>
      </c>
      <c r="D67">
        <v>25</v>
      </c>
      <c r="E67" s="5">
        <v>0.23221230048485864</v>
      </c>
      <c r="F67" s="5">
        <v>12.801600000000001</v>
      </c>
      <c r="G67" s="5">
        <f t="shared" ref="G67:G130" si="5">(PI()*(G$1+F67)^2)/10000-((PI()*(G$1)^2)/10000)</f>
        <v>3.1401820038943598</v>
      </c>
      <c r="H67" s="5">
        <f t="shared" ref="H67:H130" si="6">E67/0.0864</f>
        <v>2.6876423667229008</v>
      </c>
      <c r="I67" s="5">
        <f t="shared" ref="I67:I130" si="7">E67/G67*100</f>
        <v>7.3948675649015208</v>
      </c>
    </row>
    <row r="68" spans="1:9" x14ac:dyDescent="0.25">
      <c r="A68" s="8" t="s">
        <v>291</v>
      </c>
      <c r="B68" t="str">
        <f t="shared" si="4"/>
        <v>R55i VT0.507812530</v>
      </c>
      <c r="C68">
        <v>0.5078125</v>
      </c>
      <c r="D68">
        <v>30</v>
      </c>
      <c r="E68" s="5">
        <v>0.25619666954902243</v>
      </c>
      <c r="F68" s="5">
        <v>13.411200000000001</v>
      </c>
      <c r="G68" s="5">
        <f t="shared" si="5"/>
        <v>3.2922828791403305</v>
      </c>
      <c r="H68" s="5">
        <f t="shared" si="6"/>
        <v>2.9652392308914632</v>
      </c>
      <c r="I68" s="5">
        <f t="shared" si="7"/>
        <v>7.7817331910409724</v>
      </c>
    </row>
    <row r="69" spans="1:9" x14ac:dyDescent="0.25">
      <c r="A69" s="8" t="s">
        <v>291</v>
      </c>
      <c r="B69" t="str">
        <f t="shared" si="4"/>
        <v>R55i VT0.507812535</v>
      </c>
      <c r="C69">
        <v>0.5078125</v>
      </c>
      <c r="D69">
        <v>35</v>
      </c>
      <c r="E69" s="5">
        <v>0.27800064142553499</v>
      </c>
      <c r="F69" s="5">
        <v>13.716000000000001</v>
      </c>
      <c r="G69" s="5">
        <f t="shared" si="5"/>
        <v>3.3684208758157013</v>
      </c>
      <c r="H69" s="5">
        <f t="shared" si="6"/>
        <v>3.2176000164992473</v>
      </c>
      <c r="I69" s="5">
        <f t="shared" si="7"/>
        <v>8.2531444755463941</v>
      </c>
    </row>
    <row r="70" spans="1:9" x14ac:dyDescent="0.25">
      <c r="A70" s="8" t="s">
        <v>291</v>
      </c>
      <c r="B70" t="str">
        <f t="shared" si="4"/>
        <v>R55i VT0.507812540</v>
      </c>
      <c r="C70">
        <v>0.5078125</v>
      </c>
      <c r="D70">
        <v>40</v>
      </c>
      <c r="E70" s="5">
        <v>0.29871441470822191</v>
      </c>
      <c r="F70" s="5">
        <v>14.020800000000001</v>
      </c>
      <c r="G70" s="5">
        <f t="shared" si="5"/>
        <v>3.4446172451926742</v>
      </c>
      <c r="H70" s="5">
        <f t="shared" si="6"/>
        <v>3.4573427628266424</v>
      </c>
      <c r="I70" s="5">
        <f t="shared" si="7"/>
        <v>8.6719189229255971</v>
      </c>
    </row>
    <row r="71" spans="1:9" x14ac:dyDescent="0.25">
      <c r="A71" s="8" t="s">
        <v>291</v>
      </c>
      <c r="B71" t="str">
        <f t="shared" si="4"/>
        <v>R55i VT0.507812545</v>
      </c>
      <c r="C71">
        <v>0.5078125</v>
      </c>
      <c r="D71">
        <v>45</v>
      </c>
      <c r="E71" s="5">
        <v>0.31779289010017031</v>
      </c>
      <c r="F71" s="5">
        <v>14.325600000000001</v>
      </c>
      <c r="G71" s="5">
        <f t="shared" si="5"/>
        <v>3.520871987271228</v>
      </c>
      <c r="H71" s="5">
        <f t="shared" si="6"/>
        <v>3.6781584502334526</v>
      </c>
      <c r="I71" s="5">
        <f t="shared" si="7"/>
        <v>9.0259711585387254</v>
      </c>
    </row>
    <row r="72" spans="1:9" x14ac:dyDescent="0.25">
      <c r="A72" s="8" t="s">
        <v>291</v>
      </c>
      <c r="B72" t="str">
        <f t="shared" si="4"/>
        <v>R55i VT0.507812550</v>
      </c>
      <c r="C72">
        <v>0.5078125</v>
      </c>
      <c r="D72">
        <v>50</v>
      </c>
      <c r="E72" s="5">
        <v>0.33469096830446754</v>
      </c>
      <c r="F72" s="5">
        <v>14.630400000000002</v>
      </c>
      <c r="G72" s="5">
        <f t="shared" si="5"/>
        <v>3.5971851020513768</v>
      </c>
      <c r="H72" s="5">
        <f t="shared" si="6"/>
        <v>3.8737380590794852</v>
      </c>
      <c r="I72" s="5">
        <f t="shared" si="7"/>
        <v>9.304246481883915</v>
      </c>
    </row>
    <row r="73" spans="1:9" x14ac:dyDescent="0.25">
      <c r="A73" s="8" t="s">
        <v>291</v>
      </c>
      <c r="B73" t="str">
        <f t="shared" si="4"/>
        <v>R55i VT0.507812555</v>
      </c>
      <c r="C73">
        <v>0.5078125</v>
      </c>
      <c r="D73">
        <v>55</v>
      </c>
      <c r="E73" s="5">
        <v>0.35049884791493918</v>
      </c>
      <c r="F73" s="5">
        <v>14.630400000000002</v>
      </c>
      <c r="G73" s="5">
        <f t="shared" si="5"/>
        <v>3.5971851020513768</v>
      </c>
      <c r="H73" s="5">
        <f t="shared" si="6"/>
        <v>4.0566996286451289</v>
      </c>
      <c r="I73" s="5">
        <f t="shared" si="7"/>
        <v>9.7436978629500945</v>
      </c>
    </row>
    <row r="74" spans="1:9" x14ac:dyDescent="0.25">
      <c r="A74" s="8" t="s">
        <v>291</v>
      </c>
      <c r="B74" t="str">
        <f t="shared" si="4"/>
        <v>R55i VT0.507812560</v>
      </c>
      <c r="C74">
        <v>0.5078125</v>
      </c>
      <c r="D74">
        <v>60</v>
      </c>
      <c r="E74" s="5">
        <v>0.36467142963467236</v>
      </c>
      <c r="F74" s="5">
        <v>14.630400000000002</v>
      </c>
      <c r="G74" s="5">
        <f t="shared" si="5"/>
        <v>3.5971851020513768</v>
      </c>
      <c r="H74" s="5">
        <f t="shared" si="6"/>
        <v>4.2207341392901894</v>
      </c>
      <c r="I74" s="5">
        <f t="shared" si="7"/>
        <v>10.137688756319772</v>
      </c>
    </row>
    <row r="75" spans="1:9" x14ac:dyDescent="0.25">
      <c r="A75" s="8" t="s">
        <v>291</v>
      </c>
      <c r="B75" t="str">
        <f t="shared" si="4"/>
        <v>R55i VT0.54687515</v>
      </c>
      <c r="C75">
        <v>0.546875</v>
      </c>
      <c r="D75">
        <v>15</v>
      </c>
      <c r="E75" s="5">
        <v>0.20005144196700264</v>
      </c>
      <c r="F75" s="5">
        <v>10.972800000000001</v>
      </c>
      <c r="G75" s="5">
        <f t="shared" si="5"/>
        <v>2.6852803229946502</v>
      </c>
      <c r="H75" s="5">
        <f t="shared" si="6"/>
        <v>2.3154102079514192</v>
      </c>
      <c r="I75" s="5">
        <f t="shared" si="7"/>
        <v>7.4499276762250046</v>
      </c>
    </row>
    <row r="76" spans="1:9" x14ac:dyDescent="0.25">
      <c r="A76" s="8" t="s">
        <v>291</v>
      </c>
      <c r="B76" t="str">
        <f t="shared" si="4"/>
        <v>R55i VT0.54687520</v>
      </c>
      <c r="C76">
        <v>0.546875</v>
      </c>
      <c r="D76">
        <v>20</v>
      </c>
      <c r="E76" s="5">
        <v>0.23003190329720738</v>
      </c>
      <c r="F76" s="5">
        <v>11.8872</v>
      </c>
      <c r="G76" s="5">
        <f t="shared" si="5"/>
        <v>2.9124684862873451</v>
      </c>
      <c r="H76" s="5">
        <f t="shared" si="6"/>
        <v>2.6624062881621224</v>
      </c>
      <c r="I76" s="5">
        <f t="shared" si="7"/>
        <v>7.8981765598583147</v>
      </c>
    </row>
    <row r="77" spans="1:9" x14ac:dyDescent="0.25">
      <c r="A77" s="8" t="s">
        <v>291</v>
      </c>
      <c r="B77" t="str">
        <f t="shared" si="4"/>
        <v>R55i VT0.54687525</v>
      </c>
      <c r="C77">
        <v>0.546875</v>
      </c>
      <c r="D77">
        <v>25</v>
      </c>
      <c r="E77" s="5">
        <v>0.25783196743976083</v>
      </c>
      <c r="F77" s="5">
        <v>12.4968</v>
      </c>
      <c r="G77" s="5">
        <f t="shared" si="5"/>
        <v>3.0642191253237598</v>
      </c>
      <c r="H77" s="5">
        <f t="shared" si="6"/>
        <v>2.9841662898120465</v>
      </c>
      <c r="I77" s="5">
        <f t="shared" si="7"/>
        <v>8.4142796874071077</v>
      </c>
    </row>
    <row r="78" spans="1:9" x14ac:dyDescent="0.25">
      <c r="A78" s="8" t="s">
        <v>291</v>
      </c>
      <c r="B78" t="str">
        <f t="shared" si="4"/>
        <v>R55i VT0.54687530</v>
      </c>
      <c r="C78">
        <v>0.546875</v>
      </c>
      <c r="D78">
        <v>30</v>
      </c>
      <c r="E78" s="5">
        <v>0.28345163439466309</v>
      </c>
      <c r="F78" s="5">
        <v>13.106400000000001</v>
      </c>
      <c r="G78" s="5">
        <f t="shared" si="5"/>
        <v>3.2162032551665547</v>
      </c>
      <c r="H78" s="5">
        <f t="shared" si="6"/>
        <v>3.280690212901193</v>
      </c>
      <c r="I78" s="5">
        <f t="shared" si="7"/>
        <v>8.8132375943380552</v>
      </c>
    </row>
    <row r="79" spans="1:9" x14ac:dyDescent="0.25">
      <c r="A79" s="8" t="s">
        <v>291</v>
      </c>
      <c r="B79" t="str">
        <f t="shared" si="4"/>
        <v>R55i VT0.54687535</v>
      </c>
      <c r="C79">
        <v>0.546875</v>
      </c>
      <c r="D79">
        <v>35</v>
      </c>
      <c r="E79" s="5">
        <v>0.3079811027557397</v>
      </c>
      <c r="F79" s="5">
        <v>13.411200000000001</v>
      </c>
      <c r="G79" s="5">
        <f t="shared" si="5"/>
        <v>3.2922828791403305</v>
      </c>
      <c r="H79" s="5">
        <f t="shared" si="6"/>
        <v>3.5645960967099501</v>
      </c>
      <c r="I79" s="5">
        <f t="shared" si="7"/>
        <v>9.35463670837904</v>
      </c>
    </row>
    <row r="80" spans="1:9" x14ac:dyDescent="0.25">
      <c r="A80" s="8" t="s">
        <v>291</v>
      </c>
      <c r="B80" t="str">
        <f t="shared" si="4"/>
        <v>R55i VT0.54687540</v>
      </c>
      <c r="C80">
        <v>0.546875</v>
      </c>
      <c r="D80">
        <v>40</v>
      </c>
      <c r="E80" s="5">
        <v>0.33033017392916503</v>
      </c>
      <c r="F80" s="5">
        <v>14.020800000000001</v>
      </c>
      <c r="G80" s="5">
        <f t="shared" si="5"/>
        <v>3.4446172451926742</v>
      </c>
      <c r="H80" s="5">
        <f t="shared" si="6"/>
        <v>3.8232659019579285</v>
      </c>
      <c r="I80" s="5">
        <f t="shared" si="7"/>
        <v>9.5897497578337774</v>
      </c>
    </row>
    <row r="81" spans="1:9" x14ac:dyDescent="0.25">
      <c r="A81" s="8" t="s">
        <v>291</v>
      </c>
      <c r="B81" t="str">
        <f t="shared" si="4"/>
        <v>R55i VT0.54687545</v>
      </c>
      <c r="C81">
        <v>0.546875</v>
      </c>
      <c r="D81">
        <v>45</v>
      </c>
      <c r="E81" s="5">
        <v>0.35049884791493918</v>
      </c>
      <c r="F81" s="5">
        <v>14.325600000000001</v>
      </c>
      <c r="G81" s="5">
        <f t="shared" si="5"/>
        <v>3.520871987271228</v>
      </c>
      <c r="H81" s="5">
        <f t="shared" si="6"/>
        <v>4.0566996286451289</v>
      </c>
      <c r="I81" s="5">
        <f t="shared" si="7"/>
        <v>9.9548875727965722</v>
      </c>
    </row>
    <row r="82" spans="1:9" x14ac:dyDescent="0.25">
      <c r="A82" s="8" t="s">
        <v>291</v>
      </c>
      <c r="B82" t="str">
        <f t="shared" si="4"/>
        <v>R55i VT0.54687550</v>
      </c>
      <c r="C82">
        <v>0.546875</v>
      </c>
      <c r="D82">
        <v>50</v>
      </c>
      <c r="E82" s="5">
        <v>0.36903222400997487</v>
      </c>
      <c r="F82" s="5">
        <v>14.325600000000001</v>
      </c>
      <c r="G82" s="5">
        <f t="shared" si="5"/>
        <v>3.520871987271228</v>
      </c>
      <c r="H82" s="5">
        <f t="shared" si="6"/>
        <v>4.2712062964117461</v>
      </c>
      <c r="I82" s="5">
        <f t="shared" si="7"/>
        <v>10.481273540876018</v>
      </c>
    </row>
    <row r="83" spans="1:9" x14ac:dyDescent="0.25">
      <c r="A83" s="8" t="s">
        <v>291</v>
      </c>
      <c r="B83" t="str">
        <f t="shared" si="4"/>
        <v>R55i VT0.54687555</v>
      </c>
      <c r="C83">
        <v>0.546875</v>
      </c>
      <c r="D83">
        <v>55</v>
      </c>
      <c r="E83" s="5">
        <v>0.38538520291735917</v>
      </c>
      <c r="F83" s="5">
        <v>14.630400000000002</v>
      </c>
      <c r="G83" s="5">
        <f t="shared" si="5"/>
        <v>3.5971851020513768</v>
      </c>
      <c r="H83" s="5">
        <f t="shared" si="6"/>
        <v>4.4604768856175827</v>
      </c>
      <c r="I83" s="5">
        <f t="shared" si="7"/>
        <v>10.713521600475453</v>
      </c>
    </row>
    <row r="84" spans="1:9" x14ac:dyDescent="0.25">
      <c r="A84" s="8" t="s">
        <v>291</v>
      </c>
      <c r="B84" t="str">
        <f t="shared" si="4"/>
        <v>R55i VT0.54687560</v>
      </c>
      <c r="C84">
        <v>0.546875</v>
      </c>
      <c r="D84">
        <v>60</v>
      </c>
      <c r="E84" s="5">
        <v>0.40010288393400528</v>
      </c>
      <c r="F84" s="5">
        <v>14.630400000000002</v>
      </c>
      <c r="G84" s="5">
        <f t="shared" si="5"/>
        <v>3.5971851020513768</v>
      </c>
      <c r="H84" s="5">
        <f t="shared" si="6"/>
        <v>4.6308204159028383</v>
      </c>
      <c r="I84" s="5">
        <f t="shared" si="7"/>
        <v>11.122665989743966</v>
      </c>
    </row>
    <row r="85" spans="1:9" x14ac:dyDescent="0.25">
      <c r="A85" s="8" t="s">
        <v>291</v>
      </c>
      <c r="B85" t="str">
        <f t="shared" si="4"/>
        <v>R55i VT0.62515</v>
      </c>
      <c r="C85">
        <v>0.625</v>
      </c>
      <c r="D85">
        <v>15</v>
      </c>
      <c r="E85" s="5">
        <v>0.25074567657989427</v>
      </c>
      <c r="F85" s="5">
        <v>10.668000000000001</v>
      </c>
      <c r="G85" s="5">
        <f t="shared" si="5"/>
        <v>2.6096676806336134</v>
      </c>
      <c r="H85" s="5">
        <f t="shared" si="6"/>
        <v>2.9021490344895167</v>
      </c>
      <c r="I85" s="5">
        <f t="shared" si="7"/>
        <v>9.6083374308798799</v>
      </c>
    </row>
    <row r="86" spans="1:9" x14ac:dyDescent="0.25">
      <c r="A86" s="8" t="s">
        <v>291</v>
      </c>
      <c r="B86" t="str">
        <f t="shared" si="4"/>
        <v>R55i VT0.62520</v>
      </c>
      <c r="C86">
        <v>0.625</v>
      </c>
      <c r="D86">
        <v>20</v>
      </c>
      <c r="E86" s="5">
        <v>0.28835752806687837</v>
      </c>
      <c r="F86" s="5">
        <v>11.5824</v>
      </c>
      <c r="G86" s="5">
        <f t="shared" si="5"/>
        <v>2.8366807258215161</v>
      </c>
      <c r="H86" s="5">
        <f t="shared" si="6"/>
        <v>3.337471389662944</v>
      </c>
      <c r="I86" s="5">
        <f t="shared" si="7"/>
        <v>10.165314885176887</v>
      </c>
    </row>
    <row r="87" spans="1:9" x14ac:dyDescent="0.25">
      <c r="A87" s="8" t="s">
        <v>291</v>
      </c>
      <c r="B87" t="str">
        <f t="shared" si="4"/>
        <v>R55i VT0.62525</v>
      </c>
      <c r="C87">
        <v>0.625</v>
      </c>
      <c r="D87">
        <v>25</v>
      </c>
      <c r="E87" s="5">
        <v>0.32324388306929852</v>
      </c>
      <c r="F87" s="5">
        <v>12.192</v>
      </c>
      <c r="G87" s="5">
        <f t="shared" si="5"/>
        <v>2.988314619454755</v>
      </c>
      <c r="H87" s="5">
        <f t="shared" si="6"/>
        <v>3.7412486466353991</v>
      </c>
      <c r="I87" s="5">
        <f t="shared" si="7"/>
        <v>10.81692941448974</v>
      </c>
    </row>
    <row r="88" spans="1:9" x14ac:dyDescent="0.25">
      <c r="A88" s="8" t="s">
        <v>291</v>
      </c>
      <c r="B88" t="str">
        <f t="shared" si="4"/>
        <v>R55i VT0.62530</v>
      </c>
      <c r="C88">
        <v>0.625</v>
      </c>
      <c r="D88">
        <v>30</v>
      </c>
      <c r="E88" s="5">
        <v>0.35540474158715452</v>
      </c>
      <c r="F88" s="5">
        <v>12.801600000000001</v>
      </c>
      <c r="G88" s="5">
        <f t="shared" si="5"/>
        <v>3.1401820038943598</v>
      </c>
      <c r="H88" s="5">
        <f t="shared" si="6"/>
        <v>4.1134808054068808</v>
      </c>
      <c r="I88" s="5">
        <f t="shared" si="7"/>
        <v>11.31796631999012</v>
      </c>
    </row>
    <row r="89" spans="1:9" x14ac:dyDescent="0.25">
      <c r="A89" s="8" t="s">
        <v>291</v>
      </c>
      <c r="B89" t="str">
        <f t="shared" si="4"/>
        <v>R55i VT0.62535</v>
      </c>
      <c r="C89">
        <v>0.625</v>
      </c>
      <c r="D89">
        <v>35</v>
      </c>
      <c r="E89" s="5">
        <v>0.38593030221427199</v>
      </c>
      <c r="F89" s="5">
        <v>13.106400000000001</v>
      </c>
      <c r="G89" s="5">
        <f t="shared" si="5"/>
        <v>3.2162032551665547</v>
      </c>
      <c r="H89" s="5">
        <f t="shared" si="6"/>
        <v>4.4667859052577779</v>
      </c>
      <c r="I89" s="5">
        <f t="shared" si="7"/>
        <v>11.999561955367966</v>
      </c>
    </row>
    <row r="90" spans="1:9" x14ac:dyDescent="0.25">
      <c r="A90" s="8" t="s">
        <v>291</v>
      </c>
      <c r="B90" t="str">
        <f t="shared" si="4"/>
        <v>R55i VT0.62540</v>
      </c>
      <c r="C90">
        <v>0.625</v>
      </c>
      <c r="D90">
        <v>40</v>
      </c>
      <c r="E90" s="5">
        <v>0.41318526705991265</v>
      </c>
      <c r="F90" s="5">
        <v>13.716000000000001</v>
      </c>
      <c r="G90" s="5">
        <f t="shared" si="5"/>
        <v>3.3684208758157013</v>
      </c>
      <c r="H90" s="5">
        <f t="shared" si="6"/>
        <v>4.7822368872675076</v>
      </c>
      <c r="I90" s="5">
        <f t="shared" si="7"/>
        <v>12.266438259733656</v>
      </c>
    </row>
    <row r="91" spans="1:9" x14ac:dyDescent="0.25">
      <c r="A91" s="8" t="s">
        <v>291</v>
      </c>
      <c r="B91" t="str">
        <f t="shared" si="4"/>
        <v>R55i VT0.62545</v>
      </c>
      <c r="C91">
        <v>0.625</v>
      </c>
      <c r="D91">
        <v>45</v>
      </c>
      <c r="E91" s="5">
        <v>0.43880493401481496</v>
      </c>
      <c r="F91" s="5">
        <v>14.020800000000001</v>
      </c>
      <c r="G91" s="5">
        <f t="shared" si="5"/>
        <v>3.4446172451926742</v>
      </c>
      <c r="H91" s="5">
        <f t="shared" si="6"/>
        <v>5.0787608103566546</v>
      </c>
      <c r="I91" s="5">
        <f t="shared" si="7"/>
        <v>12.738859001742892</v>
      </c>
    </row>
    <row r="92" spans="1:9" x14ac:dyDescent="0.25">
      <c r="A92" s="8" t="s">
        <v>291</v>
      </c>
      <c r="B92" t="str">
        <f t="shared" si="4"/>
        <v>R55i VT0.62550</v>
      </c>
      <c r="C92">
        <v>0.625</v>
      </c>
      <c r="D92">
        <v>50</v>
      </c>
      <c r="E92" s="5">
        <v>0.46169910448515322</v>
      </c>
      <c r="F92" s="5">
        <v>14.020800000000001</v>
      </c>
      <c r="G92" s="5">
        <f t="shared" si="5"/>
        <v>3.4446172451926742</v>
      </c>
      <c r="H92" s="5">
        <f t="shared" si="6"/>
        <v>5.3437396352448285</v>
      </c>
      <c r="I92" s="5">
        <f t="shared" si="7"/>
        <v>13.403495123572956</v>
      </c>
    </row>
    <row r="93" spans="1:9" x14ac:dyDescent="0.25">
      <c r="A93" s="8" t="s">
        <v>291</v>
      </c>
      <c r="B93" t="str">
        <f t="shared" si="4"/>
        <v>R55i VT0.62555</v>
      </c>
      <c r="C93">
        <v>0.625</v>
      </c>
      <c r="D93">
        <v>55</v>
      </c>
      <c r="E93" s="5">
        <v>0.48186777847092727</v>
      </c>
      <c r="F93" s="5">
        <v>14.325600000000001</v>
      </c>
      <c r="G93" s="5">
        <f t="shared" si="5"/>
        <v>3.520871987271228</v>
      </c>
      <c r="H93" s="5">
        <f t="shared" si="6"/>
        <v>5.5771733619320285</v>
      </c>
      <c r="I93" s="5">
        <f t="shared" si="7"/>
        <v>13.686035170065583</v>
      </c>
    </row>
    <row r="94" spans="1:9" x14ac:dyDescent="0.25">
      <c r="A94" s="8" t="s">
        <v>291</v>
      </c>
      <c r="B94" t="str">
        <f t="shared" si="4"/>
        <v>R55i VT0.62560</v>
      </c>
      <c r="C94">
        <v>0.625</v>
      </c>
      <c r="D94">
        <v>60</v>
      </c>
      <c r="E94" s="5">
        <v>0.49985605526905008</v>
      </c>
      <c r="F94" s="5">
        <v>14.325600000000001</v>
      </c>
      <c r="G94" s="5">
        <f t="shared" si="5"/>
        <v>3.520871987271228</v>
      </c>
      <c r="H94" s="5">
        <f t="shared" si="6"/>
        <v>5.7853710100584497</v>
      </c>
      <c r="I94" s="5">
        <f t="shared" si="7"/>
        <v>14.196939197907396</v>
      </c>
    </row>
    <row r="95" spans="1:9" x14ac:dyDescent="0.25">
      <c r="A95" s="8" t="s">
        <v>80</v>
      </c>
      <c r="B95" t="str">
        <f t="shared" si="4"/>
        <v>R55VT0.4062515</v>
      </c>
      <c r="C95">
        <v>0.40625</v>
      </c>
      <c r="D95">
        <v>15</v>
      </c>
      <c r="E95" s="5">
        <v>0.10247866781960896</v>
      </c>
      <c r="F95" s="5">
        <v>12.192</v>
      </c>
      <c r="G95" s="5">
        <f t="shared" si="5"/>
        <v>2.988314619454755</v>
      </c>
      <c r="H95" s="5">
        <f t="shared" si="6"/>
        <v>1.1860956923565851</v>
      </c>
      <c r="I95" s="5">
        <f t="shared" si="7"/>
        <v>3.4293132039191749</v>
      </c>
    </row>
    <row r="96" spans="1:9" x14ac:dyDescent="0.25">
      <c r="A96" s="8" t="s">
        <v>80</v>
      </c>
      <c r="B96" t="str">
        <f t="shared" si="4"/>
        <v>R55VT0.4062520</v>
      </c>
      <c r="C96">
        <v>0.40625</v>
      </c>
      <c r="D96">
        <v>20</v>
      </c>
      <c r="E96" s="5">
        <v>0.11774144813316775</v>
      </c>
      <c r="F96" s="5">
        <v>13.106400000000001</v>
      </c>
      <c r="G96" s="5">
        <f t="shared" si="5"/>
        <v>3.2162032551665547</v>
      </c>
      <c r="H96" s="5">
        <f t="shared" si="6"/>
        <v>1.3627482422820341</v>
      </c>
      <c r="I96" s="5">
        <f t="shared" si="7"/>
        <v>3.660883308417346</v>
      </c>
    </row>
    <row r="97" spans="1:9" x14ac:dyDescent="0.25">
      <c r="A97" s="8" t="s">
        <v>80</v>
      </c>
      <c r="B97" t="str">
        <f t="shared" si="4"/>
        <v>R55VT0.4062525</v>
      </c>
      <c r="C97">
        <v>0.40625</v>
      </c>
      <c r="D97">
        <v>25</v>
      </c>
      <c r="E97" s="5">
        <v>0.1324591291498137</v>
      </c>
      <c r="F97" s="5">
        <v>13.716000000000001</v>
      </c>
      <c r="G97" s="5">
        <f t="shared" si="5"/>
        <v>3.3684208758157013</v>
      </c>
      <c r="H97" s="5">
        <f t="shared" si="6"/>
        <v>1.5330917725672881</v>
      </c>
      <c r="I97" s="5">
        <f t="shared" si="7"/>
        <v>3.9323806030544568</v>
      </c>
    </row>
    <row r="98" spans="1:9" x14ac:dyDescent="0.25">
      <c r="A98" s="8" t="s">
        <v>80</v>
      </c>
      <c r="B98" t="str">
        <f t="shared" si="4"/>
        <v>R55VT0.4062530</v>
      </c>
      <c r="C98">
        <v>0.40625</v>
      </c>
      <c r="D98">
        <v>30</v>
      </c>
      <c r="E98" s="5">
        <v>0.14554151227572124</v>
      </c>
      <c r="F98" s="5">
        <v>14.020800000000001</v>
      </c>
      <c r="G98" s="5">
        <f t="shared" si="5"/>
        <v>3.4446172451926742</v>
      </c>
      <c r="H98" s="5">
        <f t="shared" si="6"/>
        <v>1.6845082439319587</v>
      </c>
      <c r="I98" s="5">
        <f t="shared" si="7"/>
        <v>4.22518677449112</v>
      </c>
    </row>
    <row r="99" spans="1:9" x14ac:dyDescent="0.25">
      <c r="A99" s="8" t="s">
        <v>80</v>
      </c>
      <c r="B99" t="str">
        <f t="shared" si="4"/>
        <v>R55VT0.4062535</v>
      </c>
      <c r="C99">
        <v>0.40625</v>
      </c>
      <c r="D99">
        <v>35</v>
      </c>
      <c r="E99" s="5">
        <v>0.15807879610471595</v>
      </c>
      <c r="F99" s="5">
        <v>14.325600000000001</v>
      </c>
      <c r="G99" s="5">
        <f t="shared" si="5"/>
        <v>3.520871987271228</v>
      </c>
      <c r="H99" s="5">
        <f t="shared" si="6"/>
        <v>1.8296156956564344</v>
      </c>
      <c r="I99" s="5">
        <f t="shared" si="7"/>
        <v>4.4897626689129178</v>
      </c>
    </row>
    <row r="100" spans="1:9" x14ac:dyDescent="0.25">
      <c r="A100" s="8" t="s">
        <v>80</v>
      </c>
      <c r="B100" t="str">
        <f t="shared" si="4"/>
        <v>R55VT0.4062540</v>
      </c>
      <c r="C100">
        <v>0.40625</v>
      </c>
      <c r="D100">
        <v>40</v>
      </c>
      <c r="E100" s="5">
        <v>0.17007098063679785</v>
      </c>
      <c r="F100" s="5">
        <v>14.630400000000002</v>
      </c>
      <c r="G100" s="5">
        <f t="shared" si="5"/>
        <v>3.5971851020513768</v>
      </c>
      <c r="H100" s="5">
        <f t="shared" si="6"/>
        <v>1.9684141277407157</v>
      </c>
      <c r="I100" s="5">
        <f t="shared" si="7"/>
        <v>4.7278907204361262</v>
      </c>
    </row>
    <row r="101" spans="1:9" x14ac:dyDescent="0.25">
      <c r="A101" s="8" t="s">
        <v>80</v>
      </c>
      <c r="B101" t="str">
        <f t="shared" si="4"/>
        <v>R55VT0.4062545</v>
      </c>
      <c r="C101">
        <v>0.40625</v>
      </c>
      <c r="D101">
        <v>45</v>
      </c>
      <c r="E101" s="5">
        <v>0.18042786727814131</v>
      </c>
      <c r="F101" s="5">
        <v>14.630400000000002</v>
      </c>
      <c r="G101" s="5">
        <f t="shared" si="5"/>
        <v>3.5971851020513768</v>
      </c>
      <c r="H101" s="5">
        <f t="shared" si="6"/>
        <v>2.088285500904413</v>
      </c>
      <c r="I101" s="5">
        <f t="shared" si="7"/>
        <v>5.0158071425139674</v>
      </c>
    </row>
    <row r="102" spans="1:9" x14ac:dyDescent="0.25">
      <c r="A102" s="8" t="s">
        <v>80</v>
      </c>
      <c r="B102" t="str">
        <f t="shared" si="4"/>
        <v>R55VT0.4062550</v>
      </c>
      <c r="C102">
        <v>0.40625</v>
      </c>
      <c r="D102">
        <v>50</v>
      </c>
      <c r="E102" s="5">
        <v>0.19023965462257192</v>
      </c>
      <c r="F102" s="5">
        <v>14.630400000000002</v>
      </c>
      <c r="G102" s="5">
        <f t="shared" si="5"/>
        <v>3.5971851020513768</v>
      </c>
      <c r="H102" s="5">
        <f t="shared" si="6"/>
        <v>2.2018478544279154</v>
      </c>
      <c r="I102" s="5">
        <f t="shared" si="7"/>
        <v>5.288570068692974</v>
      </c>
    </row>
    <row r="103" spans="1:9" x14ac:dyDescent="0.25">
      <c r="A103" s="8" t="s">
        <v>80</v>
      </c>
      <c r="B103" t="str">
        <f t="shared" si="4"/>
        <v>R55VT0.4062555</v>
      </c>
      <c r="C103">
        <v>0.40625</v>
      </c>
      <c r="D103">
        <v>55</v>
      </c>
      <c r="E103" s="5">
        <v>0.19896124337317694</v>
      </c>
      <c r="F103" s="5">
        <v>14.630400000000002</v>
      </c>
      <c r="G103" s="5">
        <f t="shared" si="5"/>
        <v>3.5971851020513768</v>
      </c>
      <c r="H103" s="5">
        <f t="shared" si="6"/>
        <v>2.3027921686710293</v>
      </c>
      <c r="I103" s="5">
        <f t="shared" si="7"/>
        <v>5.5310260030743139</v>
      </c>
    </row>
    <row r="104" spans="1:9" x14ac:dyDescent="0.25">
      <c r="A104" s="8" t="s">
        <v>80</v>
      </c>
      <c r="B104" t="str">
        <f t="shared" si="4"/>
        <v>R55VT0.4062560</v>
      </c>
      <c r="C104">
        <v>0.40625</v>
      </c>
      <c r="D104">
        <v>60</v>
      </c>
      <c r="E104" s="5">
        <v>0.20659263352995633</v>
      </c>
      <c r="F104" s="5">
        <v>14.630400000000002</v>
      </c>
      <c r="G104" s="5">
        <f t="shared" si="5"/>
        <v>3.5971851020513768</v>
      </c>
      <c r="H104" s="5">
        <f t="shared" si="6"/>
        <v>2.3911184436337538</v>
      </c>
      <c r="I104" s="5">
        <f t="shared" si="7"/>
        <v>5.7431749456579864</v>
      </c>
    </row>
    <row r="105" spans="1:9" x14ac:dyDescent="0.25">
      <c r="A105" s="8" t="s">
        <v>80</v>
      </c>
      <c r="B105" t="str">
        <f t="shared" si="4"/>
        <v>R55VT0.437515</v>
      </c>
      <c r="C105">
        <v>0.4375</v>
      </c>
      <c r="D105">
        <v>15</v>
      </c>
      <c r="E105" s="5">
        <v>0.12809833477451121</v>
      </c>
      <c r="F105" s="5">
        <v>12.192</v>
      </c>
      <c r="G105" s="5">
        <f t="shared" si="5"/>
        <v>2.988314619454755</v>
      </c>
      <c r="H105" s="5">
        <f t="shared" si="6"/>
        <v>1.4826196154457316</v>
      </c>
      <c r="I105" s="5">
        <f t="shared" si="7"/>
        <v>4.2866415048989692</v>
      </c>
    </row>
    <row r="106" spans="1:9" x14ac:dyDescent="0.25">
      <c r="A106" s="8" t="s">
        <v>80</v>
      </c>
      <c r="B106" t="str">
        <f t="shared" si="4"/>
        <v>R55VT0.437520</v>
      </c>
      <c r="C106">
        <v>0.4375</v>
      </c>
      <c r="D106">
        <v>20</v>
      </c>
      <c r="E106" s="5">
        <v>0.14717681016645967</v>
      </c>
      <c r="F106" s="5">
        <v>13.106400000000001</v>
      </c>
      <c r="G106" s="5">
        <f t="shared" si="5"/>
        <v>3.2162032551665547</v>
      </c>
      <c r="H106" s="5">
        <f t="shared" si="6"/>
        <v>1.7034353028525424</v>
      </c>
      <c r="I106" s="5">
        <f t="shared" si="7"/>
        <v>4.5761041355216827</v>
      </c>
    </row>
    <row r="107" spans="1:9" x14ac:dyDescent="0.25">
      <c r="A107" s="8" t="s">
        <v>80</v>
      </c>
      <c r="B107" t="str">
        <f t="shared" si="4"/>
        <v>R55VT0.437525</v>
      </c>
      <c r="C107">
        <v>0.4375</v>
      </c>
      <c r="D107">
        <v>25</v>
      </c>
      <c r="E107" s="5">
        <v>0.16516508696458251</v>
      </c>
      <c r="F107" s="5">
        <v>14.020800000000001</v>
      </c>
      <c r="G107" s="5">
        <f t="shared" si="5"/>
        <v>3.4446172451926742</v>
      </c>
      <c r="H107" s="5">
        <f t="shared" si="6"/>
        <v>1.9116329509789642</v>
      </c>
      <c r="I107" s="5">
        <f t="shared" si="7"/>
        <v>4.7948748789168887</v>
      </c>
    </row>
    <row r="108" spans="1:9" x14ac:dyDescent="0.25">
      <c r="A108" s="9" t="s">
        <v>80</v>
      </c>
      <c r="B108" s="6" t="str">
        <f t="shared" si="4"/>
        <v>R55VT0.437530</v>
      </c>
      <c r="C108">
        <v>0.4375</v>
      </c>
      <c r="D108">
        <v>30</v>
      </c>
      <c r="E108">
        <v>0.18206316516887977</v>
      </c>
      <c r="F108">
        <v>14.325600000000001</v>
      </c>
      <c r="G108" s="5">
        <f t="shared" si="5"/>
        <v>3.520871987271228</v>
      </c>
      <c r="H108" s="5">
        <f t="shared" si="6"/>
        <v>2.1072125598249971</v>
      </c>
      <c r="I108" s="5">
        <f t="shared" si="7"/>
        <v>5.1709680393686712</v>
      </c>
    </row>
    <row r="109" spans="1:9" x14ac:dyDescent="0.25">
      <c r="A109" s="8" t="s">
        <v>80</v>
      </c>
      <c r="B109" t="str">
        <f t="shared" si="4"/>
        <v>R55VT0.437535</v>
      </c>
      <c r="C109">
        <v>0.4375</v>
      </c>
      <c r="D109">
        <v>35</v>
      </c>
      <c r="E109" s="5">
        <v>0.19732594548243854</v>
      </c>
      <c r="F109" s="5">
        <v>14.630400000000002</v>
      </c>
      <c r="G109" s="5">
        <f t="shared" si="5"/>
        <v>3.5971851020513768</v>
      </c>
      <c r="H109" s="5">
        <f t="shared" si="6"/>
        <v>2.2838651097504461</v>
      </c>
      <c r="I109" s="5">
        <f t="shared" si="7"/>
        <v>5.4855655153778136</v>
      </c>
    </row>
    <row r="110" spans="1:9" x14ac:dyDescent="0.25">
      <c r="A110" s="8" t="s">
        <v>80</v>
      </c>
      <c r="B110" t="str">
        <f t="shared" si="4"/>
        <v>R55VT0.437540</v>
      </c>
      <c r="C110">
        <v>0.4375</v>
      </c>
      <c r="D110">
        <v>40</v>
      </c>
      <c r="E110" s="5">
        <v>0.21204362649908445</v>
      </c>
      <c r="F110" s="5">
        <v>14.9352</v>
      </c>
      <c r="G110" s="5">
        <f t="shared" si="5"/>
        <v>3.6735565895331206</v>
      </c>
      <c r="H110" s="5">
        <f t="shared" si="6"/>
        <v>2.4542086400356995</v>
      </c>
      <c r="I110" s="5">
        <f t="shared" si="7"/>
        <v>5.7721617002784074</v>
      </c>
    </row>
    <row r="111" spans="1:9" x14ac:dyDescent="0.25">
      <c r="A111" s="8" t="s">
        <v>80</v>
      </c>
      <c r="B111" t="str">
        <f t="shared" si="4"/>
        <v>R55VT0.437545</v>
      </c>
      <c r="C111">
        <v>0.4375</v>
      </c>
      <c r="D111">
        <v>45</v>
      </c>
      <c r="E111" s="5">
        <v>0.22512600962499202</v>
      </c>
      <c r="F111" s="5">
        <v>15.24</v>
      </c>
      <c r="G111" s="5">
        <f t="shared" si="5"/>
        <v>3.7499864497164594</v>
      </c>
      <c r="H111" s="5">
        <f t="shared" si="6"/>
        <v>2.6056251114003706</v>
      </c>
      <c r="I111" s="5">
        <f t="shared" si="7"/>
        <v>6.0033819493404845</v>
      </c>
    </row>
    <row r="112" spans="1:9" x14ac:dyDescent="0.25">
      <c r="A112" s="8" t="s">
        <v>80</v>
      </c>
      <c r="B112" t="str">
        <f t="shared" si="4"/>
        <v>R55VT0.437550</v>
      </c>
      <c r="C112">
        <v>0.4375</v>
      </c>
      <c r="D112">
        <v>50</v>
      </c>
      <c r="E112" s="5">
        <v>0.23657309486016107</v>
      </c>
      <c r="F112" s="5">
        <v>15.24</v>
      </c>
      <c r="G112" s="5">
        <f t="shared" si="5"/>
        <v>3.7499864497164594</v>
      </c>
      <c r="H112" s="5">
        <f t="shared" si="6"/>
        <v>2.7381145238444566</v>
      </c>
      <c r="I112" s="5">
        <f t="shared" si="7"/>
        <v>6.3086386586289827</v>
      </c>
    </row>
    <row r="113" spans="1:9" x14ac:dyDescent="0.25">
      <c r="A113" s="8" t="s">
        <v>80</v>
      </c>
      <c r="B113" t="str">
        <f t="shared" si="4"/>
        <v>R55VT0.437555</v>
      </c>
      <c r="C113">
        <v>0.4375</v>
      </c>
      <c r="D113">
        <v>55</v>
      </c>
      <c r="E113" s="5">
        <v>0.2474750807984174</v>
      </c>
      <c r="F113" s="5">
        <v>15.24</v>
      </c>
      <c r="G113" s="5">
        <f t="shared" si="5"/>
        <v>3.7499864497164594</v>
      </c>
      <c r="H113" s="5">
        <f t="shared" si="6"/>
        <v>2.8642949166483493</v>
      </c>
      <c r="I113" s="5">
        <f t="shared" si="7"/>
        <v>6.5993593341418411</v>
      </c>
    </row>
    <row r="114" spans="1:9" x14ac:dyDescent="0.25">
      <c r="A114" s="8" t="s">
        <v>80</v>
      </c>
      <c r="B114" t="str">
        <f t="shared" si="4"/>
        <v>R55VT0.437560</v>
      </c>
      <c r="C114">
        <v>0.4375</v>
      </c>
      <c r="D114">
        <v>60</v>
      </c>
      <c r="E114" s="5">
        <v>0.25674176884593525</v>
      </c>
      <c r="F114" s="5">
        <v>15.24</v>
      </c>
      <c r="G114" s="5">
        <f t="shared" si="5"/>
        <v>3.7499864497164594</v>
      </c>
      <c r="H114" s="5">
        <f t="shared" si="6"/>
        <v>2.9715482505316579</v>
      </c>
      <c r="I114" s="5">
        <f t="shared" si="7"/>
        <v>6.8464719083277696</v>
      </c>
    </row>
    <row r="115" spans="1:9" x14ac:dyDescent="0.25">
      <c r="A115" s="8" t="s">
        <v>80</v>
      </c>
      <c r="B115" t="str">
        <f t="shared" si="4"/>
        <v>R55VT0.4687515</v>
      </c>
      <c r="C115">
        <v>0.46875</v>
      </c>
      <c r="D115">
        <v>15</v>
      </c>
      <c r="E115" s="5">
        <v>0.15262780313558783</v>
      </c>
      <c r="F115" s="5">
        <v>12.192</v>
      </c>
      <c r="G115" s="5">
        <f t="shared" si="5"/>
        <v>2.988314619454755</v>
      </c>
      <c r="H115" s="5">
        <f t="shared" si="6"/>
        <v>1.7665254992544885</v>
      </c>
      <c r="I115" s="5">
        <f t="shared" si="7"/>
        <v>5.1074877505179206</v>
      </c>
    </row>
    <row r="116" spans="1:9" x14ac:dyDescent="0.25">
      <c r="A116" s="8" t="s">
        <v>80</v>
      </c>
      <c r="B116" t="str">
        <f t="shared" si="4"/>
        <v>R55VT0.4687520</v>
      </c>
      <c r="C116">
        <v>0.46875</v>
      </c>
      <c r="D116">
        <v>20</v>
      </c>
      <c r="E116" s="5">
        <v>0.17497687430901315</v>
      </c>
      <c r="F116" s="5">
        <v>13.106400000000001</v>
      </c>
      <c r="G116" s="5">
        <f t="shared" si="5"/>
        <v>3.2162032551665547</v>
      </c>
      <c r="H116" s="5">
        <f t="shared" si="6"/>
        <v>2.0251953045024669</v>
      </c>
      <c r="I116" s="5">
        <f t="shared" si="7"/>
        <v>5.4404793611202225</v>
      </c>
    </row>
    <row r="117" spans="1:9" x14ac:dyDescent="0.25">
      <c r="A117" s="8" t="s">
        <v>80</v>
      </c>
      <c r="B117" t="str">
        <f t="shared" si="4"/>
        <v>R55VT0.4687525</v>
      </c>
      <c r="C117">
        <v>0.46875</v>
      </c>
      <c r="D117">
        <v>25</v>
      </c>
      <c r="E117" s="5">
        <v>0.19678084618552572</v>
      </c>
      <c r="F117" s="5">
        <v>14.020800000000001</v>
      </c>
      <c r="G117" s="5">
        <f t="shared" si="5"/>
        <v>3.4446172451926742</v>
      </c>
      <c r="H117" s="5">
        <f t="shared" si="6"/>
        <v>2.2775560901102514</v>
      </c>
      <c r="I117" s="5">
        <f t="shared" si="7"/>
        <v>5.7127057138250725</v>
      </c>
    </row>
    <row r="118" spans="1:9" x14ac:dyDescent="0.25">
      <c r="A118" s="8" t="s">
        <v>80</v>
      </c>
      <c r="B118" t="str">
        <f t="shared" si="4"/>
        <v>R55VT0.4687530</v>
      </c>
      <c r="C118">
        <v>0.46875</v>
      </c>
      <c r="D118">
        <v>30</v>
      </c>
      <c r="E118" s="5">
        <v>0.21640442087438702</v>
      </c>
      <c r="F118" s="5">
        <v>14.325600000000001</v>
      </c>
      <c r="G118" s="5">
        <f t="shared" si="5"/>
        <v>3.520871987271228</v>
      </c>
      <c r="H118" s="5">
        <f t="shared" si="6"/>
        <v>2.5046807971572571</v>
      </c>
      <c r="I118" s="5">
        <f t="shared" si="7"/>
        <v>6.1463302743394079</v>
      </c>
    </row>
    <row r="119" spans="1:9" x14ac:dyDescent="0.25">
      <c r="A119" s="8" t="s">
        <v>80</v>
      </c>
      <c r="B119" t="str">
        <f t="shared" si="4"/>
        <v>R55VT0.4687535</v>
      </c>
      <c r="C119">
        <v>0.46875</v>
      </c>
      <c r="D119">
        <v>35</v>
      </c>
      <c r="E119" s="5">
        <v>0.23493779696942266</v>
      </c>
      <c r="F119" s="5">
        <v>14.9352</v>
      </c>
      <c r="G119" s="5">
        <f t="shared" si="5"/>
        <v>3.6735565895331206</v>
      </c>
      <c r="H119" s="5">
        <f t="shared" si="6"/>
        <v>2.7191874649238734</v>
      </c>
      <c r="I119" s="5">
        <f t="shared" si="7"/>
        <v>6.395377102365023</v>
      </c>
    </row>
    <row r="120" spans="1:9" x14ac:dyDescent="0.25">
      <c r="A120" s="8" t="s">
        <v>80</v>
      </c>
      <c r="B120" t="str">
        <f t="shared" si="4"/>
        <v>R55VT0.4687540</v>
      </c>
      <c r="C120">
        <v>0.46875</v>
      </c>
      <c r="D120">
        <v>40</v>
      </c>
      <c r="E120" s="5">
        <v>0.25183587517371991</v>
      </c>
      <c r="F120" s="5">
        <v>15.24</v>
      </c>
      <c r="G120" s="5">
        <f t="shared" si="5"/>
        <v>3.7499864497164594</v>
      </c>
      <c r="H120" s="5">
        <f t="shared" si="6"/>
        <v>2.9147670737699061</v>
      </c>
      <c r="I120" s="5">
        <f t="shared" si="7"/>
        <v>6.7156476043469828</v>
      </c>
    </row>
    <row r="121" spans="1:9" x14ac:dyDescent="0.25">
      <c r="A121" s="8" t="s">
        <v>80</v>
      </c>
      <c r="B121" t="str">
        <f t="shared" si="4"/>
        <v>R55VT0.4687545</v>
      </c>
      <c r="C121">
        <v>0.46875</v>
      </c>
      <c r="D121">
        <v>45</v>
      </c>
      <c r="E121" s="5">
        <v>0.26709865548727862</v>
      </c>
      <c r="F121" s="5">
        <v>15.5448</v>
      </c>
      <c r="G121" s="5">
        <f t="shared" si="5"/>
        <v>3.8264746826013791</v>
      </c>
      <c r="H121" s="5">
        <f t="shared" si="6"/>
        <v>3.0914196236953542</v>
      </c>
      <c r="I121" s="5">
        <f t="shared" si="7"/>
        <v>6.9802802224656322</v>
      </c>
    </row>
    <row r="122" spans="1:9" x14ac:dyDescent="0.25">
      <c r="A122" s="8" t="s">
        <v>80</v>
      </c>
      <c r="B122" t="str">
        <f t="shared" si="4"/>
        <v>R55VT0.4687550</v>
      </c>
      <c r="C122">
        <v>0.46875</v>
      </c>
      <c r="D122">
        <v>50</v>
      </c>
      <c r="E122" s="5">
        <v>0.28127123720701186</v>
      </c>
      <c r="F122" s="5">
        <v>15.5448</v>
      </c>
      <c r="G122" s="5">
        <f t="shared" si="5"/>
        <v>3.8264746826013791</v>
      </c>
      <c r="H122" s="5">
        <f t="shared" si="6"/>
        <v>3.2554541343404151</v>
      </c>
      <c r="I122" s="5">
        <f t="shared" si="7"/>
        <v>7.3506624383515655</v>
      </c>
    </row>
    <row r="123" spans="1:9" x14ac:dyDescent="0.25">
      <c r="A123" s="8" t="s">
        <v>80</v>
      </c>
      <c r="B123" t="str">
        <f t="shared" si="4"/>
        <v>R55VT0.4687555</v>
      </c>
      <c r="C123">
        <v>0.46875</v>
      </c>
      <c r="D123">
        <v>55</v>
      </c>
      <c r="E123" s="5">
        <v>0.29435362033291934</v>
      </c>
      <c r="F123" s="5">
        <v>15.5448</v>
      </c>
      <c r="G123" s="5">
        <f t="shared" si="5"/>
        <v>3.8264746826013791</v>
      </c>
      <c r="H123" s="5">
        <f t="shared" si="6"/>
        <v>3.4068706057050848</v>
      </c>
      <c r="I123" s="5">
        <f t="shared" si="7"/>
        <v>7.6925537145539629</v>
      </c>
    </row>
    <row r="124" spans="1:9" x14ac:dyDescent="0.25">
      <c r="A124" s="8" t="s">
        <v>80</v>
      </c>
      <c r="B124" t="str">
        <f t="shared" si="4"/>
        <v>R55VT0.4687560</v>
      </c>
      <c r="C124">
        <v>0.46875</v>
      </c>
      <c r="D124">
        <v>60</v>
      </c>
      <c r="E124" s="5">
        <v>0.30525560627117565</v>
      </c>
      <c r="F124" s="5">
        <v>15.5448</v>
      </c>
      <c r="G124" s="5">
        <f t="shared" si="5"/>
        <v>3.8264746826013791</v>
      </c>
      <c r="H124" s="5">
        <f t="shared" si="6"/>
        <v>3.5330509985089771</v>
      </c>
      <c r="I124" s="5">
        <f t="shared" si="7"/>
        <v>7.9774631113892953</v>
      </c>
    </row>
    <row r="125" spans="1:9" x14ac:dyDescent="0.25">
      <c r="A125" s="8" t="s">
        <v>80</v>
      </c>
      <c r="B125" t="str">
        <f t="shared" si="4"/>
        <v>R55VT0.507812515</v>
      </c>
      <c r="C125">
        <v>0.5078125</v>
      </c>
      <c r="D125">
        <v>15</v>
      </c>
      <c r="E125" s="5">
        <v>0.17988276798122849</v>
      </c>
      <c r="F125" s="5">
        <v>12.192</v>
      </c>
      <c r="G125" s="5">
        <f t="shared" si="5"/>
        <v>2.988314619454755</v>
      </c>
      <c r="H125" s="5">
        <f t="shared" si="6"/>
        <v>2.0819764812642183</v>
      </c>
      <c r="I125" s="5">
        <f t="shared" si="7"/>
        <v>6.0195391345389773</v>
      </c>
    </row>
    <row r="126" spans="1:9" x14ac:dyDescent="0.25">
      <c r="A126" s="8" t="s">
        <v>80</v>
      </c>
      <c r="B126" t="str">
        <f t="shared" si="4"/>
        <v>R55VT0.507812520</v>
      </c>
      <c r="C126">
        <v>0.5078125</v>
      </c>
      <c r="D126">
        <v>20</v>
      </c>
      <c r="E126" s="5">
        <v>0.20713773282686918</v>
      </c>
      <c r="F126" s="5">
        <v>13.411200000000001</v>
      </c>
      <c r="G126" s="5">
        <f t="shared" si="5"/>
        <v>3.2922828791403305</v>
      </c>
      <c r="H126" s="5">
        <f t="shared" si="6"/>
        <v>2.3974274632739485</v>
      </c>
      <c r="I126" s="5">
        <f t="shared" si="7"/>
        <v>6.2916140693522751</v>
      </c>
    </row>
    <row r="127" spans="1:9" x14ac:dyDescent="0.25">
      <c r="A127" s="8" t="s">
        <v>80</v>
      </c>
      <c r="B127" t="str">
        <f t="shared" si="4"/>
        <v>R55VT0.507812525</v>
      </c>
      <c r="C127">
        <v>0.5078125</v>
      </c>
      <c r="D127">
        <v>25</v>
      </c>
      <c r="E127" s="5">
        <v>0.23221230048485864</v>
      </c>
      <c r="F127" s="5">
        <v>14.325600000000001</v>
      </c>
      <c r="G127" s="5">
        <f t="shared" si="5"/>
        <v>3.520871987271228</v>
      </c>
      <c r="H127" s="5">
        <f t="shared" si="6"/>
        <v>2.6876423667229008</v>
      </c>
      <c r="I127" s="5">
        <f t="shared" si="7"/>
        <v>6.5953065412307001</v>
      </c>
    </row>
    <row r="128" spans="1:9" x14ac:dyDescent="0.25">
      <c r="A128" s="8" t="s">
        <v>80</v>
      </c>
      <c r="B128" t="str">
        <f t="shared" si="4"/>
        <v>R55VT0.507812530</v>
      </c>
      <c r="C128">
        <v>0.5078125</v>
      </c>
      <c r="D128">
        <v>30</v>
      </c>
      <c r="E128" s="5">
        <v>0.25619666954902243</v>
      </c>
      <c r="F128" s="5">
        <v>14.630400000000002</v>
      </c>
      <c r="G128" s="5">
        <f t="shared" si="5"/>
        <v>3.5971851020513768</v>
      </c>
      <c r="H128" s="5">
        <f t="shared" si="6"/>
        <v>2.9652392308914632</v>
      </c>
      <c r="I128" s="5">
        <f t="shared" si="7"/>
        <v>7.1221430724518591</v>
      </c>
    </row>
    <row r="129" spans="1:9" x14ac:dyDescent="0.25">
      <c r="A129" s="8" t="s">
        <v>80</v>
      </c>
      <c r="B129" t="str">
        <f t="shared" si="4"/>
        <v>R55VT0.507812535</v>
      </c>
      <c r="C129">
        <v>0.5078125</v>
      </c>
      <c r="D129">
        <v>35</v>
      </c>
      <c r="E129" s="5">
        <v>0.27800064142553499</v>
      </c>
      <c r="F129" s="5">
        <v>14.9352</v>
      </c>
      <c r="G129" s="5">
        <f t="shared" si="5"/>
        <v>3.6735565895331206</v>
      </c>
      <c r="H129" s="5">
        <f t="shared" si="6"/>
        <v>3.2176000164992473</v>
      </c>
      <c r="I129" s="5">
        <f t="shared" si="7"/>
        <v>7.5676155967660375</v>
      </c>
    </row>
    <row r="130" spans="1:9" x14ac:dyDescent="0.25">
      <c r="A130" s="8" t="s">
        <v>80</v>
      </c>
      <c r="B130" t="str">
        <f t="shared" si="4"/>
        <v>R55VT0.507812540</v>
      </c>
      <c r="C130">
        <v>0.5078125</v>
      </c>
      <c r="D130">
        <v>40</v>
      </c>
      <c r="E130" s="5">
        <v>0.29871441470822191</v>
      </c>
      <c r="F130" s="5">
        <v>15.24</v>
      </c>
      <c r="G130" s="5">
        <f t="shared" si="5"/>
        <v>3.7499864497164594</v>
      </c>
      <c r="H130" s="5">
        <f t="shared" si="6"/>
        <v>3.4573427628266424</v>
      </c>
      <c r="I130" s="5">
        <f t="shared" si="7"/>
        <v>7.9657465090522672</v>
      </c>
    </row>
    <row r="131" spans="1:9" x14ac:dyDescent="0.25">
      <c r="A131" s="8" t="s">
        <v>80</v>
      </c>
      <c r="B131" t="str">
        <f t="shared" ref="B131:B194" si="8">A131&amp;C131&amp;D131</f>
        <v>R55VT0.507812545</v>
      </c>
      <c r="C131">
        <v>0.5078125</v>
      </c>
      <c r="D131">
        <v>45</v>
      </c>
      <c r="E131" s="5">
        <v>0.31779289010017031</v>
      </c>
      <c r="F131" s="5">
        <v>15.5448</v>
      </c>
      <c r="G131" s="5">
        <f t="shared" ref="G131:G194" si="9">(PI()*(G$1+F131)^2)/10000-((PI()*(G$1)^2)/10000)</f>
        <v>3.8264746826013791</v>
      </c>
      <c r="H131" s="5">
        <f t="shared" ref="H131:H194" si="10">E131/0.0864</f>
        <v>3.6781584502334526</v>
      </c>
      <c r="I131" s="5">
        <f t="shared" ref="I131:I194" si="11">E131/G131*100</f>
        <v>8.3051089177499264</v>
      </c>
    </row>
    <row r="132" spans="1:9" x14ac:dyDescent="0.25">
      <c r="A132" s="8" t="s">
        <v>80</v>
      </c>
      <c r="B132" t="str">
        <f t="shared" si="8"/>
        <v>R55VT0.507812550</v>
      </c>
      <c r="C132">
        <v>0.5078125</v>
      </c>
      <c r="D132">
        <v>50</v>
      </c>
      <c r="E132" s="5">
        <v>0.33469096830446754</v>
      </c>
      <c r="F132" s="5">
        <v>15.849600000000001</v>
      </c>
      <c r="G132" s="5">
        <f t="shared" si="9"/>
        <v>3.9030212881878938</v>
      </c>
      <c r="H132" s="5">
        <f t="shared" si="10"/>
        <v>3.8737380590794852</v>
      </c>
      <c r="I132" s="5">
        <f t="shared" si="11"/>
        <v>8.5751766027353344</v>
      </c>
    </row>
    <row r="133" spans="1:9" x14ac:dyDescent="0.25">
      <c r="A133" s="8" t="s">
        <v>80</v>
      </c>
      <c r="B133" t="str">
        <f t="shared" si="8"/>
        <v>R55VT0.507812555</v>
      </c>
      <c r="C133">
        <v>0.5078125</v>
      </c>
      <c r="D133">
        <v>55</v>
      </c>
      <c r="E133" s="5">
        <v>0.35049884791493918</v>
      </c>
      <c r="F133" s="5">
        <v>15.849600000000001</v>
      </c>
      <c r="G133" s="5">
        <f t="shared" si="9"/>
        <v>3.9030212881878938</v>
      </c>
      <c r="H133" s="5">
        <f t="shared" si="10"/>
        <v>4.0566996286451289</v>
      </c>
      <c r="I133" s="5">
        <f t="shared" si="11"/>
        <v>8.9801930872293507</v>
      </c>
    </row>
    <row r="134" spans="1:9" x14ac:dyDescent="0.25">
      <c r="A134" s="8" t="s">
        <v>80</v>
      </c>
      <c r="B134" t="str">
        <f t="shared" si="8"/>
        <v>R55VT0.507812560</v>
      </c>
      <c r="C134">
        <v>0.5078125</v>
      </c>
      <c r="D134">
        <v>60</v>
      </c>
      <c r="E134" s="5">
        <v>0.36467142963467236</v>
      </c>
      <c r="F134" s="5">
        <v>15.849600000000001</v>
      </c>
      <c r="G134" s="5">
        <f t="shared" si="9"/>
        <v>3.9030212881878938</v>
      </c>
      <c r="H134" s="5">
        <f t="shared" si="10"/>
        <v>4.2207341392901894</v>
      </c>
      <c r="I134" s="5">
        <f t="shared" si="11"/>
        <v>9.3433113147067424</v>
      </c>
    </row>
    <row r="135" spans="1:9" x14ac:dyDescent="0.25">
      <c r="A135" s="8" t="s">
        <v>80</v>
      </c>
      <c r="B135" t="str">
        <f t="shared" si="8"/>
        <v>R55VT0.54687515</v>
      </c>
      <c r="C135">
        <v>0.546875</v>
      </c>
      <c r="D135">
        <v>15</v>
      </c>
      <c r="E135" s="5">
        <v>0.20005144196700264</v>
      </c>
      <c r="F135" s="5">
        <v>12.192</v>
      </c>
      <c r="G135" s="5">
        <f t="shared" si="9"/>
        <v>2.988314619454755</v>
      </c>
      <c r="H135" s="5">
        <f t="shared" si="10"/>
        <v>2.3154102079514192</v>
      </c>
      <c r="I135" s="5">
        <f t="shared" si="11"/>
        <v>6.6944571587145614</v>
      </c>
    </row>
    <row r="136" spans="1:9" x14ac:dyDescent="0.25">
      <c r="A136" s="8" t="s">
        <v>80</v>
      </c>
      <c r="B136" t="str">
        <f t="shared" si="8"/>
        <v>R55VT0.54687520</v>
      </c>
      <c r="C136">
        <v>0.546875</v>
      </c>
      <c r="D136">
        <v>20</v>
      </c>
      <c r="E136" s="5">
        <v>0.23003190329720738</v>
      </c>
      <c r="F136" s="5">
        <v>13.411200000000001</v>
      </c>
      <c r="G136" s="5">
        <f t="shared" si="9"/>
        <v>3.2922828791403305</v>
      </c>
      <c r="H136" s="5">
        <f t="shared" si="10"/>
        <v>2.6624062881621224</v>
      </c>
      <c r="I136" s="5">
        <f t="shared" si="11"/>
        <v>6.9870029928070014</v>
      </c>
    </row>
    <row r="137" spans="1:9" x14ac:dyDescent="0.25">
      <c r="A137" s="8" t="s">
        <v>80</v>
      </c>
      <c r="B137" t="str">
        <f t="shared" si="8"/>
        <v>R55VT0.54687525</v>
      </c>
      <c r="C137">
        <v>0.546875</v>
      </c>
      <c r="D137">
        <v>25</v>
      </c>
      <c r="E137" s="5">
        <v>0.25783196743976083</v>
      </c>
      <c r="F137" s="5">
        <v>14.630400000000002</v>
      </c>
      <c r="G137" s="5">
        <f t="shared" si="9"/>
        <v>3.5971851020513768</v>
      </c>
      <c r="H137" s="5">
        <f t="shared" si="10"/>
        <v>2.9841662898120465</v>
      </c>
      <c r="I137" s="5">
        <f t="shared" si="11"/>
        <v>7.1676035601483585</v>
      </c>
    </row>
    <row r="138" spans="1:9" x14ac:dyDescent="0.25">
      <c r="A138" s="8" t="s">
        <v>80</v>
      </c>
      <c r="B138" t="str">
        <f t="shared" si="8"/>
        <v>R55VT0.54687530</v>
      </c>
      <c r="C138">
        <v>0.546875</v>
      </c>
      <c r="D138">
        <v>30</v>
      </c>
      <c r="E138" s="5">
        <v>0.28345163439466309</v>
      </c>
      <c r="F138" s="5">
        <v>14.9352</v>
      </c>
      <c r="G138" s="5">
        <f t="shared" si="9"/>
        <v>3.6735565895331206</v>
      </c>
      <c r="H138" s="5">
        <f t="shared" si="10"/>
        <v>3.280690212901193</v>
      </c>
      <c r="I138" s="5">
        <f t="shared" si="11"/>
        <v>7.7160002163104684</v>
      </c>
    </row>
    <row r="139" spans="1:9" x14ac:dyDescent="0.25">
      <c r="A139" s="8" t="s">
        <v>80</v>
      </c>
      <c r="B139" t="str">
        <f t="shared" si="8"/>
        <v>R55VT0.54687535</v>
      </c>
      <c r="C139">
        <v>0.546875</v>
      </c>
      <c r="D139">
        <v>35</v>
      </c>
      <c r="E139" s="5">
        <v>0.3079811027557397</v>
      </c>
      <c r="F139" s="5">
        <v>15.24</v>
      </c>
      <c r="G139" s="5">
        <f t="shared" si="9"/>
        <v>3.7499864497164594</v>
      </c>
      <c r="H139" s="5">
        <f t="shared" si="10"/>
        <v>3.5645960967099501</v>
      </c>
      <c r="I139" s="5">
        <f t="shared" si="11"/>
        <v>8.2128590832381949</v>
      </c>
    </row>
    <row r="140" spans="1:9" x14ac:dyDescent="0.25">
      <c r="A140" s="8" t="s">
        <v>80</v>
      </c>
      <c r="B140" t="str">
        <f t="shared" si="8"/>
        <v>R55VT0.54687540</v>
      </c>
      <c r="C140">
        <v>0.546875</v>
      </c>
      <c r="D140">
        <v>40</v>
      </c>
      <c r="E140" s="5">
        <v>0.33033017392916503</v>
      </c>
      <c r="F140" s="5">
        <v>15.5448</v>
      </c>
      <c r="G140" s="5">
        <f t="shared" si="9"/>
        <v>3.8264746826013791</v>
      </c>
      <c r="H140" s="5">
        <f t="shared" si="10"/>
        <v>3.8232659019579285</v>
      </c>
      <c r="I140" s="5">
        <f t="shared" si="11"/>
        <v>8.6327547241105584</v>
      </c>
    </row>
    <row r="141" spans="1:9" x14ac:dyDescent="0.25">
      <c r="A141" s="8" t="s">
        <v>80</v>
      </c>
      <c r="B141" t="str">
        <f t="shared" si="8"/>
        <v>R55VT0.54687545</v>
      </c>
      <c r="C141">
        <v>0.546875</v>
      </c>
      <c r="D141">
        <v>45</v>
      </c>
      <c r="E141" s="5">
        <v>0.35049884791493918</v>
      </c>
      <c r="F141" s="5">
        <v>15.849600000000001</v>
      </c>
      <c r="G141" s="5">
        <f t="shared" si="9"/>
        <v>3.9030212881878938</v>
      </c>
      <c r="H141" s="5">
        <f t="shared" si="10"/>
        <v>4.0566996286451289</v>
      </c>
      <c r="I141" s="5">
        <f t="shared" si="11"/>
        <v>8.9801930872293507</v>
      </c>
    </row>
    <row r="142" spans="1:9" x14ac:dyDescent="0.25">
      <c r="A142" s="8" t="s">
        <v>80</v>
      </c>
      <c r="B142" t="str">
        <f t="shared" si="8"/>
        <v>R55VT0.54687550</v>
      </c>
      <c r="C142">
        <v>0.546875</v>
      </c>
      <c r="D142">
        <v>50</v>
      </c>
      <c r="E142" s="5">
        <v>0.36903222400997487</v>
      </c>
      <c r="F142" s="5">
        <v>16.154400000000003</v>
      </c>
      <c r="G142" s="5">
        <f t="shared" si="9"/>
        <v>3.9796262664760107</v>
      </c>
      <c r="H142" s="5">
        <f t="shared" si="10"/>
        <v>4.2712062964117461</v>
      </c>
      <c r="I142" s="5">
        <f t="shared" si="11"/>
        <v>9.2730371974541157</v>
      </c>
    </row>
    <row r="143" spans="1:9" x14ac:dyDescent="0.25">
      <c r="A143" s="8" t="s">
        <v>80</v>
      </c>
      <c r="B143" t="str">
        <f t="shared" si="8"/>
        <v>R55VT0.54687555</v>
      </c>
      <c r="C143">
        <v>0.546875</v>
      </c>
      <c r="D143">
        <v>55</v>
      </c>
      <c r="E143" s="5">
        <v>0.38538520291735917</v>
      </c>
      <c r="F143" s="5">
        <v>16.154400000000003</v>
      </c>
      <c r="G143" s="5">
        <f t="shared" si="9"/>
        <v>3.9796262664760107</v>
      </c>
      <c r="H143" s="5">
        <f t="shared" si="10"/>
        <v>4.4604768856175827</v>
      </c>
      <c r="I143" s="5">
        <f t="shared" si="11"/>
        <v>9.6839546508124918</v>
      </c>
    </row>
    <row r="144" spans="1:9" x14ac:dyDescent="0.25">
      <c r="A144" s="8" t="s">
        <v>80</v>
      </c>
      <c r="B144" t="str">
        <f t="shared" si="8"/>
        <v>R55VT0.54687560</v>
      </c>
      <c r="C144">
        <v>0.546875</v>
      </c>
      <c r="D144">
        <v>60</v>
      </c>
      <c r="E144" s="5">
        <v>0.40010288393400528</v>
      </c>
      <c r="F144" s="5">
        <v>16.154400000000003</v>
      </c>
      <c r="G144" s="5">
        <f t="shared" si="9"/>
        <v>3.9796262664760107</v>
      </c>
      <c r="H144" s="5">
        <f t="shared" si="10"/>
        <v>4.6308204159028383</v>
      </c>
      <c r="I144" s="5">
        <f t="shared" si="11"/>
        <v>10.053780358835038</v>
      </c>
    </row>
    <row r="145" spans="1:9" x14ac:dyDescent="0.25">
      <c r="A145" s="8" t="s">
        <v>80</v>
      </c>
      <c r="B145" t="str">
        <f t="shared" si="8"/>
        <v>R55VT0.62515</v>
      </c>
      <c r="C145">
        <v>0.625</v>
      </c>
      <c r="D145">
        <v>15</v>
      </c>
      <c r="E145" s="5">
        <v>0.25074567657989427</v>
      </c>
      <c r="F145" s="5">
        <v>12.192</v>
      </c>
      <c r="G145" s="5">
        <f t="shared" si="9"/>
        <v>2.988314619454755</v>
      </c>
      <c r="H145" s="5">
        <f t="shared" si="10"/>
        <v>2.9021490344895167</v>
      </c>
      <c r="I145" s="5">
        <f t="shared" si="11"/>
        <v>8.390872732993726</v>
      </c>
    </row>
    <row r="146" spans="1:9" x14ac:dyDescent="0.25">
      <c r="A146" s="8" t="s">
        <v>80</v>
      </c>
      <c r="B146" t="str">
        <f t="shared" si="8"/>
        <v>R55VT0.62520</v>
      </c>
      <c r="C146">
        <v>0.625</v>
      </c>
      <c r="D146">
        <v>20</v>
      </c>
      <c r="E146" s="5">
        <v>0.28835752806687837</v>
      </c>
      <c r="F146" s="5">
        <v>13.411200000000001</v>
      </c>
      <c r="G146" s="5">
        <f t="shared" si="9"/>
        <v>3.2922828791403305</v>
      </c>
      <c r="H146" s="5">
        <f t="shared" si="10"/>
        <v>3.337471389662944</v>
      </c>
      <c r="I146" s="5">
        <f t="shared" si="11"/>
        <v>8.7585890597035601</v>
      </c>
    </row>
    <row r="147" spans="1:9" x14ac:dyDescent="0.25">
      <c r="A147" s="8" t="s">
        <v>80</v>
      </c>
      <c r="B147" t="str">
        <f t="shared" si="8"/>
        <v>R55VT0.62525</v>
      </c>
      <c r="C147">
        <v>0.625</v>
      </c>
      <c r="D147">
        <v>25</v>
      </c>
      <c r="E147" s="5">
        <v>0.32324388306929852</v>
      </c>
      <c r="F147" s="5">
        <v>14.630400000000002</v>
      </c>
      <c r="G147" s="5">
        <f t="shared" si="9"/>
        <v>3.5971851020513768</v>
      </c>
      <c r="H147" s="5">
        <f t="shared" si="10"/>
        <v>3.7412486466353991</v>
      </c>
      <c r="I147" s="5">
        <f t="shared" si="11"/>
        <v>8.986023068008409</v>
      </c>
    </row>
    <row r="148" spans="1:9" x14ac:dyDescent="0.25">
      <c r="A148" s="8" t="s">
        <v>80</v>
      </c>
      <c r="B148" t="str">
        <f t="shared" si="8"/>
        <v>R55VT0.62530</v>
      </c>
      <c r="C148">
        <v>0.625</v>
      </c>
      <c r="D148">
        <v>30</v>
      </c>
      <c r="E148" s="5">
        <v>0.35540474158715452</v>
      </c>
      <c r="F148" s="5">
        <v>14.9352</v>
      </c>
      <c r="G148" s="5">
        <f t="shared" si="9"/>
        <v>3.6735565895331206</v>
      </c>
      <c r="H148" s="5">
        <f t="shared" si="10"/>
        <v>4.1134808054068808</v>
      </c>
      <c r="I148" s="5">
        <f t="shared" si="11"/>
        <v>9.674677194296974</v>
      </c>
    </row>
    <row r="149" spans="1:9" x14ac:dyDescent="0.25">
      <c r="A149" s="8" t="s">
        <v>80</v>
      </c>
      <c r="B149" t="str">
        <f t="shared" si="8"/>
        <v>R55VT0.62535</v>
      </c>
      <c r="C149">
        <v>0.625</v>
      </c>
      <c r="D149">
        <v>35</v>
      </c>
      <c r="E149" s="5">
        <v>0.38593030221427199</v>
      </c>
      <c r="F149" s="5">
        <v>15.24</v>
      </c>
      <c r="G149" s="5">
        <f t="shared" si="9"/>
        <v>3.7499864497164594</v>
      </c>
      <c r="H149" s="5">
        <f t="shared" si="10"/>
        <v>4.4667859052577779</v>
      </c>
      <c r="I149" s="5">
        <f t="shared" si="11"/>
        <v>10.291511913155116</v>
      </c>
    </row>
    <row r="150" spans="1:9" x14ac:dyDescent="0.25">
      <c r="A150" s="8" t="s">
        <v>80</v>
      </c>
      <c r="B150" t="str">
        <f t="shared" si="8"/>
        <v>R55VT0.62540</v>
      </c>
      <c r="C150">
        <v>0.625</v>
      </c>
      <c r="D150">
        <v>40</v>
      </c>
      <c r="E150" s="5">
        <v>0.41318526705991265</v>
      </c>
      <c r="F150" s="5">
        <v>15.5448</v>
      </c>
      <c r="G150" s="5">
        <f t="shared" si="9"/>
        <v>3.8264746826013791</v>
      </c>
      <c r="H150" s="5">
        <f t="shared" si="10"/>
        <v>4.7822368872675076</v>
      </c>
      <c r="I150" s="5">
        <f t="shared" si="11"/>
        <v>10.798066140059079</v>
      </c>
    </row>
    <row r="151" spans="1:9" x14ac:dyDescent="0.25">
      <c r="A151" s="8" t="s">
        <v>80</v>
      </c>
      <c r="B151" t="str">
        <f t="shared" si="8"/>
        <v>R55VT0.62545</v>
      </c>
      <c r="C151">
        <v>0.625</v>
      </c>
      <c r="D151">
        <v>45</v>
      </c>
      <c r="E151" s="5">
        <v>0.43880493401481496</v>
      </c>
      <c r="F151" s="5">
        <v>16.154400000000003</v>
      </c>
      <c r="G151" s="5">
        <f t="shared" si="9"/>
        <v>3.9796262664760107</v>
      </c>
      <c r="H151" s="5">
        <f t="shared" si="10"/>
        <v>5.0787608103566546</v>
      </c>
      <c r="I151" s="5">
        <f t="shared" si="11"/>
        <v>11.026284998449869</v>
      </c>
    </row>
    <row r="152" spans="1:9" x14ac:dyDescent="0.25">
      <c r="A152" s="8" t="s">
        <v>80</v>
      </c>
      <c r="B152" t="str">
        <f t="shared" si="8"/>
        <v>R55VT0.62550</v>
      </c>
      <c r="C152">
        <v>0.625</v>
      </c>
      <c r="D152">
        <v>50</v>
      </c>
      <c r="E152" s="5">
        <v>0.46169910448515322</v>
      </c>
      <c r="F152" s="5">
        <v>16.459199999999999</v>
      </c>
      <c r="G152" s="5">
        <f t="shared" si="9"/>
        <v>4.0562896174657084</v>
      </c>
      <c r="H152" s="5">
        <f t="shared" si="10"/>
        <v>5.3437396352448285</v>
      </c>
      <c r="I152" s="5">
        <f t="shared" si="11"/>
        <v>11.38230126609189</v>
      </c>
    </row>
    <row r="153" spans="1:9" x14ac:dyDescent="0.25">
      <c r="A153" s="8" t="s">
        <v>80</v>
      </c>
      <c r="B153" t="str">
        <f t="shared" si="8"/>
        <v>R55VT0.62555</v>
      </c>
      <c r="C153">
        <v>0.625</v>
      </c>
      <c r="D153">
        <v>55</v>
      </c>
      <c r="E153" s="5">
        <v>0.48186777847092727</v>
      </c>
      <c r="F153" s="5">
        <v>16.459199999999999</v>
      </c>
      <c r="G153" s="5">
        <f t="shared" si="9"/>
        <v>4.0562896174657084</v>
      </c>
      <c r="H153" s="5">
        <f t="shared" si="10"/>
        <v>5.5771733619320285</v>
      </c>
      <c r="I153" s="5">
        <f t="shared" si="11"/>
        <v>11.879521038046317</v>
      </c>
    </row>
    <row r="154" spans="1:9" x14ac:dyDescent="0.25">
      <c r="A154" s="8" t="s">
        <v>80</v>
      </c>
      <c r="B154" t="str">
        <f t="shared" si="8"/>
        <v>R55VT0.62560</v>
      </c>
      <c r="C154">
        <v>0.625</v>
      </c>
      <c r="D154">
        <v>60</v>
      </c>
      <c r="E154" s="5">
        <v>0.49985605526905008</v>
      </c>
      <c r="F154" s="5">
        <v>16.459199999999999</v>
      </c>
      <c r="G154" s="5">
        <f t="shared" si="9"/>
        <v>4.0562896174657084</v>
      </c>
      <c r="H154" s="5">
        <f t="shared" si="10"/>
        <v>5.7853710100584497</v>
      </c>
      <c r="I154" s="5">
        <f t="shared" si="11"/>
        <v>12.322987321140804</v>
      </c>
    </row>
    <row r="155" spans="1:9" x14ac:dyDescent="0.25">
      <c r="A155" s="8" t="s">
        <v>80</v>
      </c>
      <c r="B155" t="str">
        <f t="shared" si="8"/>
        <v>R55VT0.70312515</v>
      </c>
      <c r="C155">
        <v>0.703125</v>
      </c>
      <c r="D155">
        <v>15</v>
      </c>
      <c r="E155" s="5">
        <v>0.28781242876996554</v>
      </c>
      <c r="F155" s="5">
        <v>12.4968</v>
      </c>
      <c r="G155" s="5">
        <f t="shared" si="9"/>
        <v>3.0642191253237598</v>
      </c>
      <c r="H155" s="5">
        <f t="shared" si="10"/>
        <v>3.3311623700227493</v>
      </c>
      <c r="I155" s="5">
        <f t="shared" si="11"/>
        <v>9.392684302221884</v>
      </c>
    </row>
    <row r="156" spans="1:9" x14ac:dyDescent="0.25">
      <c r="A156" s="8" t="s">
        <v>80</v>
      </c>
      <c r="B156" t="str">
        <f t="shared" si="8"/>
        <v>R55VT0.70312520</v>
      </c>
      <c r="C156">
        <v>0.703125</v>
      </c>
      <c r="D156">
        <v>20</v>
      </c>
      <c r="E156" s="5">
        <v>0.33033017392916503</v>
      </c>
      <c r="F156" s="5">
        <v>13.716000000000001</v>
      </c>
      <c r="G156" s="5">
        <f t="shared" si="9"/>
        <v>3.3684208758157013</v>
      </c>
      <c r="H156" s="5">
        <f t="shared" si="10"/>
        <v>3.8232659019579285</v>
      </c>
      <c r="I156" s="5">
        <f t="shared" si="11"/>
        <v>9.8066775532963</v>
      </c>
    </row>
    <row r="157" spans="1:9" x14ac:dyDescent="0.25">
      <c r="A157" s="8" t="s">
        <v>80</v>
      </c>
      <c r="B157" t="str">
        <f t="shared" si="8"/>
        <v>R55VT0.70312525</v>
      </c>
      <c r="C157">
        <v>0.703125</v>
      </c>
      <c r="D157">
        <v>25</v>
      </c>
      <c r="E157" s="5">
        <v>0.37066752190071328</v>
      </c>
      <c r="F157" s="5">
        <v>14.630400000000002</v>
      </c>
      <c r="G157" s="5">
        <f t="shared" si="9"/>
        <v>3.5971851020513768</v>
      </c>
      <c r="H157" s="5">
        <f t="shared" si="10"/>
        <v>4.2901333553323298</v>
      </c>
      <c r="I157" s="5">
        <f t="shared" si="11"/>
        <v>10.304377211206942</v>
      </c>
    </row>
    <row r="158" spans="1:9" x14ac:dyDescent="0.25">
      <c r="A158" s="8" t="s">
        <v>80</v>
      </c>
      <c r="B158" t="str">
        <f t="shared" si="8"/>
        <v>R55VT0.70312530</v>
      </c>
      <c r="C158">
        <v>0.703125</v>
      </c>
      <c r="D158">
        <v>30</v>
      </c>
      <c r="E158" s="5">
        <v>0.40773427409078461</v>
      </c>
      <c r="F158" s="5">
        <v>15.24</v>
      </c>
      <c r="G158" s="5">
        <f t="shared" si="9"/>
        <v>3.7499864497164594</v>
      </c>
      <c r="H158" s="5">
        <f t="shared" si="10"/>
        <v>4.7191466908655624</v>
      </c>
      <c r="I158" s="5">
        <f t="shared" si="11"/>
        <v>10.872953264180831</v>
      </c>
    </row>
    <row r="159" spans="1:9" x14ac:dyDescent="0.25">
      <c r="A159" s="8" t="s">
        <v>80</v>
      </c>
      <c r="B159" t="str">
        <f t="shared" si="8"/>
        <v>R55VT0.70312535</v>
      </c>
      <c r="C159">
        <v>0.703125</v>
      </c>
      <c r="D159">
        <v>35</v>
      </c>
      <c r="E159" s="5">
        <v>0.44207552979629183</v>
      </c>
      <c r="F159" s="5">
        <v>15.5448</v>
      </c>
      <c r="G159" s="5">
        <f t="shared" si="9"/>
        <v>3.8264746826013791</v>
      </c>
      <c r="H159" s="5">
        <f t="shared" si="10"/>
        <v>5.1166149281978219</v>
      </c>
      <c r="I159" s="5">
        <f t="shared" si="11"/>
        <v>11.553076041672711</v>
      </c>
    </row>
    <row r="160" spans="1:9" x14ac:dyDescent="0.25">
      <c r="A160" s="8" t="s">
        <v>80</v>
      </c>
      <c r="B160" t="str">
        <f t="shared" si="8"/>
        <v>R55VT0.70312540</v>
      </c>
      <c r="C160">
        <v>0.703125</v>
      </c>
      <c r="D160">
        <v>40</v>
      </c>
      <c r="E160" s="5">
        <v>0.47423638831414788</v>
      </c>
      <c r="F160" s="5">
        <v>15.849600000000001</v>
      </c>
      <c r="G160" s="5">
        <f t="shared" si="9"/>
        <v>3.9030212881878938</v>
      </c>
      <c r="H160" s="5">
        <f t="shared" si="10"/>
        <v>5.4888470869693036</v>
      </c>
      <c r="I160" s="5">
        <f t="shared" si="11"/>
        <v>12.150494534820428</v>
      </c>
    </row>
    <row r="161" spans="1:9" x14ac:dyDescent="0.25">
      <c r="A161" s="8" t="s">
        <v>80</v>
      </c>
      <c r="B161" t="str">
        <f t="shared" si="8"/>
        <v>R55VT0.70312545</v>
      </c>
      <c r="C161">
        <v>0.703125</v>
      </c>
      <c r="D161">
        <v>45</v>
      </c>
      <c r="E161" s="5">
        <v>0.50312665105052701</v>
      </c>
      <c r="F161" s="5">
        <v>16.459199999999999</v>
      </c>
      <c r="G161" s="5">
        <f t="shared" si="9"/>
        <v>4.0562896174657084</v>
      </c>
      <c r="H161" s="5">
        <f t="shared" si="10"/>
        <v>5.8232251278996179</v>
      </c>
      <c r="I161" s="5">
        <f t="shared" si="11"/>
        <v>12.403617554430713</v>
      </c>
    </row>
    <row r="162" spans="1:9" x14ac:dyDescent="0.25">
      <c r="A162" s="8" t="s">
        <v>80</v>
      </c>
      <c r="B162" t="str">
        <f t="shared" si="8"/>
        <v>R55VT0.70312550</v>
      </c>
      <c r="C162">
        <v>0.703125</v>
      </c>
      <c r="D162">
        <v>50</v>
      </c>
      <c r="E162" s="5">
        <v>0.52983651659925479</v>
      </c>
      <c r="F162" s="5">
        <v>16.459199999999999</v>
      </c>
      <c r="G162" s="5">
        <f t="shared" si="9"/>
        <v>4.0562896174657084</v>
      </c>
      <c r="H162" s="5">
        <f t="shared" si="10"/>
        <v>6.1323670902691525</v>
      </c>
      <c r="I162" s="5">
        <f t="shared" si="11"/>
        <v>13.062097792964952</v>
      </c>
    </row>
    <row r="163" spans="1:9" x14ac:dyDescent="0.25">
      <c r="A163" s="8" t="s">
        <v>80</v>
      </c>
      <c r="B163" t="str">
        <f t="shared" si="8"/>
        <v>R55VT0.70312555</v>
      </c>
      <c r="C163">
        <v>0.703125</v>
      </c>
      <c r="D163">
        <v>55</v>
      </c>
      <c r="E163" s="5">
        <v>0.55327578636650587</v>
      </c>
      <c r="F163" s="5">
        <v>16.763999999999999</v>
      </c>
      <c r="G163" s="5">
        <f t="shared" si="9"/>
        <v>4.1330113411570011</v>
      </c>
      <c r="H163" s="5">
        <f t="shared" si="10"/>
        <v>6.4036549347975216</v>
      </c>
      <c r="I163" s="5">
        <f t="shared" si="11"/>
        <v>13.386747354330295</v>
      </c>
    </row>
    <row r="164" spans="1:9" x14ac:dyDescent="0.25">
      <c r="A164" s="8" t="s">
        <v>80</v>
      </c>
      <c r="B164" t="str">
        <f t="shared" si="8"/>
        <v>R55VT0.70312560</v>
      </c>
      <c r="C164">
        <v>0.703125</v>
      </c>
      <c r="D164">
        <v>60</v>
      </c>
      <c r="E164" s="5">
        <v>0.57453465894610567</v>
      </c>
      <c r="F164" s="5">
        <v>17.0688</v>
      </c>
      <c r="G164" s="5">
        <f t="shared" si="9"/>
        <v>4.2097914375498888</v>
      </c>
      <c r="H164" s="5">
        <f t="shared" si="10"/>
        <v>6.6497067007651118</v>
      </c>
      <c r="I164" s="5">
        <f t="shared" si="11"/>
        <v>13.64758011101107</v>
      </c>
    </row>
    <row r="165" spans="1:9" x14ac:dyDescent="0.25">
      <c r="A165" s="8" t="s">
        <v>79</v>
      </c>
      <c r="B165" t="str">
        <f t="shared" si="8"/>
        <v>R750.4062540</v>
      </c>
      <c r="C165">
        <f>13/32</f>
        <v>0.40625</v>
      </c>
      <c r="D165">
        <v>40</v>
      </c>
      <c r="E165" s="5">
        <v>0.41759999999999997</v>
      </c>
      <c r="F165" s="5">
        <v>17.399999999999999</v>
      </c>
      <c r="G165" s="5">
        <f t="shared" si="9"/>
        <v>4.293287954025196</v>
      </c>
      <c r="H165" s="5">
        <f t="shared" si="10"/>
        <v>4.833333333333333</v>
      </c>
      <c r="I165" s="5">
        <f t="shared" si="11"/>
        <v>9.7268108841494492</v>
      </c>
    </row>
    <row r="166" spans="1:9" x14ac:dyDescent="0.25">
      <c r="A166" s="8" t="s">
        <v>79</v>
      </c>
      <c r="B166" t="str">
        <f t="shared" si="8"/>
        <v>R750.4062545</v>
      </c>
      <c r="C166">
        <f>13/32</f>
        <v>0.40625</v>
      </c>
      <c r="D166">
        <v>45</v>
      </c>
      <c r="E166" s="5">
        <v>0.42479999999999996</v>
      </c>
      <c r="F166" s="5">
        <v>17.7</v>
      </c>
      <c r="G166" s="5">
        <f t="shared" si="9"/>
        <v>4.3689783458281326</v>
      </c>
      <c r="H166" s="5">
        <f t="shared" si="10"/>
        <v>4.9166666666666661</v>
      </c>
      <c r="I166" s="5">
        <f t="shared" si="11"/>
        <v>9.7230969433765821</v>
      </c>
    </row>
    <row r="167" spans="1:9" x14ac:dyDescent="0.25">
      <c r="A167" s="8" t="s">
        <v>79</v>
      </c>
      <c r="B167" t="str">
        <f t="shared" si="8"/>
        <v>R750.4062550</v>
      </c>
      <c r="C167">
        <f>13/32</f>
        <v>0.40625</v>
      </c>
      <c r="D167">
        <v>50</v>
      </c>
      <c r="E167" s="5">
        <v>0.432</v>
      </c>
      <c r="F167" s="5">
        <v>18</v>
      </c>
      <c r="G167" s="5">
        <f t="shared" si="9"/>
        <v>4.4447252862988407</v>
      </c>
      <c r="H167" s="5">
        <f t="shared" si="10"/>
        <v>5</v>
      </c>
      <c r="I167" s="5">
        <f t="shared" si="11"/>
        <v>9.7193858376729949</v>
      </c>
    </row>
    <row r="168" spans="1:9" x14ac:dyDescent="0.25">
      <c r="A168" s="8" t="s">
        <v>79</v>
      </c>
      <c r="B168" t="str">
        <f t="shared" si="8"/>
        <v>R750.4062560</v>
      </c>
      <c r="C168">
        <f>13/32</f>
        <v>0.40625</v>
      </c>
      <c r="D168">
        <v>60</v>
      </c>
      <c r="E168" s="5">
        <v>0.43920000000000003</v>
      </c>
      <c r="F168" s="5">
        <v>18.3</v>
      </c>
      <c r="G168" s="5">
        <f t="shared" si="9"/>
        <v>4.5205287754373131</v>
      </c>
      <c r="H168" s="5">
        <f t="shared" si="10"/>
        <v>5.083333333333333</v>
      </c>
      <c r="I168" s="5">
        <f t="shared" si="11"/>
        <v>9.7156775637936761</v>
      </c>
    </row>
    <row r="169" spans="1:9" x14ac:dyDescent="0.25">
      <c r="A169" s="8" t="s">
        <v>79</v>
      </c>
      <c r="B169" t="str">
        <f t="shared" si="8"/>
        <v>R750.437540</v>
      </c>
      <c r="C169">
        <f>7/16</f>
        <v>0.4375</v>
      </c>
      <c r="D169">
        <v>40</v>
      </c>
      <c r="E169" s="5">
        <v>0.432</v>
      </c>
      <c r="F169" s="5">
        <v>18</v>
      </c>
      <c r="G169" s="5">
        <f t="shared" si="9"/>
        <v>4.4447252862988407</v>
      </c>
      <c r="H169" s="5">
        <f t="shared" si="10"/>
        <v>5</v>
      </c>
      <c r="I169" s="5">
        <f t="shared" si="11"/>
        <v>9.7193858376729949</v>
      </c>
    </row>
    <row r="170" spans="1:9" x14ac:dyDescent="0.25">
      <c r="A170" s="8" t="s">
        <v>79</v>
      </c>
      <c r="B170" t="str">
        <f t="shared" si="8"/>
        <v>R750.437545</v>
      </c>
      <c r="C170">
        <f>7/16</f>
        <v>0.4375</v>
      </c>
      <c r="D170">
        <v>45</v>
      </c>
      <c r="E170" s="5">
        <v>0.43920000000000003</v>
      </c>
      <c r="F170" s="5">
        <v>18.3</v>
      </c>
      <c r="G170" s="5">
        <f t="shared" si="9"/>
        <v>4.5205287754373131</v>
      </c>
      <c r="H170" s="5">
        <f t="shared" si="10"/>
        <v>5.083333333333333</v>
      </c>
      <c r="I170" s="5">
        <f t="shared" si="11"/>
        <v>9.7156775637936761</v>
      </c>
    </row>
    <row r="171" spans="1:9" x14ac:dyDescent="0.25">
      <c r="A171" s="8" t="s">
        <v>79</v>
      </c>
      <c r="B171" t="str">
        <f t="shared" si="8"/>
        <v>R750.437550</v>
      </c>
      <c r="C171">
        <f>7/16</f>
        <v>0.4375</v>
      </c>
      <c r="D171" s="8">
        <v>50</v>
      </c>
      <c r="E171" s="5">
        <v>0.44640000000000002</v>
      </c>
      <c r="F171" s="5">
        <v>18.600000000000001</v>
      </c>
      <c r="G171" s="5">
        <f t="shared" si="9"/>
        <v>4.59638881324355</v>
      </c>
      <c r="H171" s="5">
        <f t="shared" si="10"/>
        <v>5.166666666666667</v>
      </c>
      <c r="I171" s="5">
        <f t="shared" si="11"/>
        <v>9.7119721184985526</v>
      </c>
    </row>
    <row r="172" spans="1:9" x14ac:dyDescent="0.25">
      <c r="A172" s="8" t="s">
        <v>79</v>
      </c>
      <c r="B172" t="str">
        <f t="shared" si="8"/>
        <v>R750.437560</v>
      </c>
      <c r="C172">
        <f>7/16</f>
        <v>0.4375</v>
      </c>
      <c r="D172">
        <v>60</v>
      </c>
      <c r="E172" s="5">
        <v>0.45359999999999995</v>
      </c>
      <c r="F172" s="5">
        <v>18.899999999999999</v>
      </c>
      <c r="G172" s="5">
        <f t="shared" si="9"/>
        <v>4.6723053997175299</v>
      </c>
      <c r="H172" s="5">
        <f t="shared" si="10"/>
        <v>5.2499999999999991</v>
      </c>
      <c r="I172" s="5">
        <f t="shared" si="11"/>
        <v>9.7082694985525322</v>
      </c>
    </row>
    <row r="173" spans="1:9" x14ac:dyDescent="0.25">
      <c r="A173" s="8" t="s">
        <v>79</v>
      </c>
      <c r="B173" t="str">
        <f t="shared" si="8"/>
        <v>R750.4687540</v>
      </c>
      <c r="C173">
        <f>15/32</f>
        <v>0.46875</v>
      </c>
      <c r="D173">
        <v>40</v>
      </c>
      <c r="E173" s="5">
        <v>0.44640000000000002</v>
      </c>
      <c r="F173" s="5">
        <v>18.600000000000001</v>
      </c>
      <c r="G173" s="5">
        <f t="shared" si="9"/>
        <v>4.59638881324355</v>
      </c>
      <c r="H173" s="5">
        <f t="shared" si="10"/>
        <v>5.166666666666667</v>
      </c>
      <c r="I173" s="5">
        <f t="shared" si="11"/>
        <v>9.7119721184985526</v>
      </c>
    </row>
    <row r="174" spans="1:9" x14ac:dyDescent="0.25">
      <c r="A174" s="8" t="s">
        <v>79</v>
      </c>
      <c r="B174" t="str">
        <f t="shared" si="8"/>
        <v>R750.4687545</v>
      </c>
      <c r="C174">
        <f>15/32</f>
        <v>0.46875</v>
      </c>
      <c r="D174">
        <v>45</v>
      </c>
      <c r="E174" s="5">
        <v>0.45359999999999995</v>
      </c>
      <c r="F174" s="5">
        <v>18.899999999999999</v>
      </c>
      <c r="G174" s="5">
        <f t="shared" si="9"/>
        <v>4.6723053997175299</v>
      </c>
      <c r="H174" s="5">
        <f t="shared" si="10"/>
        <v>5.2499999999999991</v>
      </c>
      <c r="I174" s="5">
        <f t="shared" si="11"/>
        <v>9.7082694985525322</v>
      </c>
    </row>
    <row r="175" spans="1:9" x14ac:dyDescent="0.25">
      <c r="A175" s="8" t="s">
        <v>79</v>
      </c>
      <c r="B175" t="str">
        <f t="shared" si="8"/>
        <v>R750.4687550</v>
      </c>
      <c r="C175">
        <f>15/32</f>
        <v>0.46875</v>
      </c>
      <c r="D175">
        <v>50</v>
      </c>
      <c r="E175" s="5">
        <v>0.46079999999999993</v>
      </c>
      <c r="F175" s="5">
        <v>19.2</v>
      </c>
      <c r="G175" s="5">
        <f t="shared" si="9"/>
        <v>4.7482785348592955</v>
      </c>
      <c r="H175" s="5">
        <f t="shared" si="10"/>
        <v>5.3333333333333321</v>
      </c>
      <c r="I175" s="5">
        <f t="shared" si="11"/>
        <v>9.7045697007253331</v>
      </c>
    </row>
    <row r="176" spans="1:9" x14ac:dyDescent="0.25">
      <c r="A176" s="8" t="s">
        <v>79</v>
      </c>
      <c r="B176" t="str">
        <f t="shared" si="8"/>
        <v>R750.4687560</v>
      </c>
      <c r="C176">
        <f>15/32</f>
        <v>0.46875</v>
      </c>
      <c r="D176">
        <v>60</v>
      </c>
      <c r="E176" s="5">
        <v>0.47520000000000007</v>
      </c>
      <c r="F176" s="5">
        <v>19.8</v>
      </c>
      <c r="G176" s="5">
        <f t="shared" si="9"/>
        <v>4.9003944511461199</v>
      </c>
      <c r="H176" s="5">
        <f t="shared" si="10"/>
        <v>5.5000000000000009</v>
      </c>
      <c r="I176" s="5">
        <f t="shared" si="11"/>
        <v>9.6971785585313199</v>
      </c>
    </row>
    <row r="177" spans="1:9" x14ac:dyDescent="0.25">
      <c r="A177" s="8" t="s">
        <v>79</v>
      </c>
      <c r="B177" t="str">
        <f t="shared" si="8"/>
        <v>R750.540</v>
      </c>
      <c r="C177">
        <f>1/2</f>
        <v>0.5</v>
      </c>
      <c r="D177">
        <v>40</v>
      </c>
      <c r="E177" s="5">
        <v>0.47520000000000007</v>
      </c>
      <c r="F177" s="5">
        <v>19.8</v>
      </c>
      <c r="G177" s="5">
        <f t="shared" si="9"/>
        <v>4.9003944511461199</v>
      </c>
      <c r="H177" s="5">
        <f t="shared" si="10"/>
        <v>5.5000000000000009</v>
      </c>
      <c r="I177" s="5">
        <f t="shared" si="11"/>
        <v>9.6971785585313199</v>
      </c>
    </row>
    <row r="178" spans="1:9" x14ac:dyDescent="0.25">
      <c r="A178" s="8" t="s">
        <v>79</v>
      </c>
      <c r="B178" t="str">
        <f t="shared" si="8"/>
        <v>R750.545</v>
      </c>
      <c r="C178">
        <f>1/2</f>
        <v>0.5</v>
      </c>
      <c r="D178">
        <v>45</v>
      </c>
      <c r="E178" s="5">
        <v>0.48240000000000005</v>
      </c>
      <c r="F178" s="5">
        <v>20.100000000000001</v>
      </c>
      <c r="G178" s="5">
        <f t="shared" si="9"/>
        <v>4.9765372322911858</v>
      </c>
      <c r="H178" s="5">
        <f t="shared" si="10"/>
        <v>5.5833333333333339</v>
      </c>
      <c r="I178" s="5">
        <f t="shared" si="11"/>
        <v>9.693487207728662</v>
      </c>
    </row>
    <row r="179" spans="1:9" x14ac:dyDescent="0.25">
      <c r="A179" s="8" t="s">
        <v>79</v>
      </c>
      <c r="B179" t="str">
        <f t="shared" si="8"/>
        <v>R750.550</v>
      </c>
      <c r="C179">
        <f>1/2</f>
        <v>0.5</v>
      </c>
      <c r="D179">
        <v>50</v>
      </c>
      <c r="E179" s="5">
        <v>0.48959999999999998</v>
      </c>
      <c r="F179" s="5">
        <v>20.399999999999999</v>
      </c>
      <c r="G179" s="5">
        <f t="shared" si="9"/>
        <v>5.0527365621039877</v>
      </c>
      <c r="H179" s="5">
        <f t="shared" si="10"/>
        <v>5.6666666666666661</v>
      </c>
      <c r="I179" s="5">
        <f t="shared" si="11"/>
        <v>9.6897986661732443</v>
      </c>
    </row>
    <row r="180" spans="1:9" x14ac:dyDescent="0.25">
      <c r="A180" s="8" t="s">
        <v>79</v>
      </c>
      <c r="B180" t="str">
        <f t="shared" si="8"/>
        <v>R750.560</v>
      </c>
      <c r="C180">
        <f>1/2</f>
        <v>0.5</v>
      </c>
      <c r="D180">
        <v>60</v>
      </c>
      <c r="E180" s="5">
        <v>0.504</v>
      </c>
      <c r="F180" s="5">
        <v>21</v>
      </c>
      <c r="G180" s="5">
        <f t="shared" si="9"/>
        <v>5.2053048677329272</v>
      </c>
      <c r="H180" s="5">
        <f t="shared" si="10"/>
        <v>5.833333333333333</v>
      </c>
      <c r="I180" s="5">
        <f t="shared" si="11"/>
        <v>9.6824299979860307</v>
      </c>
    </row>
    <row r="181" spans="1:9" x14ac:dyDescent="0.25">
      <c r="A181" s="8" t="s">
        <v>79</v>
      </c>
      <c r="B181" t="str">
        <f t="shared" si="8"/>
        <v>R750.5312540</v>
      </c>
      <c r="C181">
        <f>17/32</f>
        <v>0.53125</v>
      </c>
      <c r="D181">
        <v>40</v>
      </c>
      <c r="E181" s="5">
        <v>0.47520000000000007</v>
      </c>
      <c r="F181" s="5">
        <v>19.8</v>
      </c>
      <c r="G181" s="5">
        <f t="shared" si="9"/>
        <v>4.9003944511461199</v>
      </c>
      <c r="H181" s="5">
        <f t="shared" si="10"/>
        <v>5.5000000000000009</v>
      </c>
      <c r="I181" s="5">
        <f t="shared" si="11"/>
        <v>9.6971785585313199</v>
      </c>
    </row>
    <row r="182" spans="1:9" x14ac:dyDescent="0.25">
      <c r="A182" s="8" t="s">
        <v>79</v>
      </c>
      <c r="B182" t="str">
        <f t="shared" si="8"/>
        <v>R750.5312545</v>
      </c>
      <c r="C182">
        <f>17/32</f>
        <v>0.53125</v>
      </c>
      <c r="D182">
        <v>45</v>
      </c>
      <c r="E182" s="5">
        <v>0.48240000000000005</v>
      </c>
      <c r="F182" s="5">
        <v>20.100000000000001</v>
      </c>
      <c r="G182" s="5">
        <f t="shared" si="9"/>
        <v>4.9765372322911858</v>
      </c>
      <c r="H182" s="5">
        <f t="shared" si="10"/>
        <v>5.5833333333333339</v>
      </c>
      <c r="I182" s="5">
        <f t="shared" si="11"/>
        <v>9.693487207728662</v>
      </c>
    </row>
    <row r="183" spans="1:9" x14ac:dyDescent="0.25">
      <c r="A183" s="8" t="s">
        <v>79</v>
      </c>
      <c r="B183" t="str">
        <f t="shared" si="8"/>
        <v>R750.5312550</v>
      </c>
      <c r="C183">
        <f>17/32</f>
        <v>0.53125</v>
      </c>
      <c r="D183">
        <v>50</v>
      </c>
      <c r="E183" s="5">
        <v>0.48959999999999998</v>
      </c>
      <c r="F183" s="5">
        <v>20.399999999999999</v>
      </c>
      <c r="G183" s="5">
        <f t="shared" si="9"/>
        <v>5.0527365621039877</v>
      </c>
      <c r="H183" s="5">
        <f t="shared" si="10"/>
        <v>5.6666666666666661</v>
      </c>
      <c r="I183" s="5">
        <f t="shared" si="11"/>
        <v>9.6897986661732443</v>
      </c>
    </row>
    <row r="184" spans="1:9" x14ac:dyDescent="0.25">
      <c r="A184" s="8" t="s">
        <v>79</v>
      </c>
      <c r="B184" t="str">
        <f t="shared" si="8"/>
        <v>R750.5312560</v>
      </c>
      <c r="C184">
        <f>17/32</f>
        <v>0.53125</v>
      </c>
      <c r="D184">
        <v>60</v>
      </c>
      <c r="E184" s="5">
        <v>0.49679999999999996</v>
      </c>
      <c r="F184" s="5">
        <v>20.7</v>
      </c>
      <c r="G184" s="5">
        <f t="shared" si="9"/>
        <v>5.1289924405845753</v>
      </c>
      <c r="H184" s="5">
        <f t="shared" si="10"/>
        <v>5.7499999999999991</v>
      </c>
      <c r="I184" s="5">
        <f t="shared" si="11"/>
        <v>9.6861129306592879</v>
      </c>
    </row>
    <row r="185" spans="1:9" x14ac:dyDescent="0.25">
      <c r="A185" s="8" t="s">
        <v>79</v>
      </c>
      <c r="B185" t="str">
        <f t="shared" si="8"/>
        <v>R750.562540</v>
      </c>
      <c r="C185">
        <f>9/16</f>
        <v>0.5625</v>
      </c>
      <c r="D185">
        <v>40</v>
      </c>
      <c r="E185" s="5">
        <v>0.46800000000000003</v>
      </c>
      <c r="F185" s="5">
        <v>19.5</v>
      </c>
      <c r="G185" s="5">
        <f t="shared" si="9"/>
        <v>4.8243082186688255</v>
      </c>
      <c r="H185" s="5">
        <f t="shared" si="10"/>
        <v>5.416666666666667</v>
      </c>
      <c r="I185" s="5">
        <f t="shared" si="11"/>
        <v>9.7008727217917166</v>
      </c>
    </row>
    <row r="186" spans="1:9" x14ac:dyDescent="0.25">
      <c r="A186" s="8" t="s">
        <v>79</v>
      </c>
      <c r="B186" t="str">
        <f t="shared" si="8"/>
        <v>R750.562545</v>
      </c>
      <c r="C186">
        <f>9/16</f>
        <v>0.5625</v>
      </c>
      <c r="D186">
        <v>45</v>
      </c>
      <c r="E186" s="5">
        <v>0.47520000000000007</v>
      </c>
      <c r="F186" s="5">
        <v>19.8</v>
      </c>
      <c r="G186" s="5">
        <f t="shared" si="9"/>
        <v>4.9003944511461199</v>
      </c>
      <c r="H186" s="5">
        <f t="shared" si="10"/>
        <v>5.5000000000000009</v>
      </c>
      <c r="I186" s="5">
        <f t="shared" si="11"/>
        <v>9.6971785585313199</v>
      </c>
    </row>
    <row r="187" spans="1:9" x14ac:dyDescent="0.25">
      <c r="A187" s="8" t="s">
        <v>79</v>
      </c>
      <c r="B187" t="str">
        <f t="shared" si="8"/>
        <v>R750.562550</v>
      </c>
      <c r="C187">
        <f>9/16</f>
        <v>0.5625</v>
      </c>
      <c r="D187">
        <v>50</v>
      </c>
      <c r="E187" s="5">
        <v>0.48</v>
      </c>
      <c r="F187" s="5">
        <v>20</v>
      </c>
      <c r="G187" s="5">
        <f t="shared" si="9"/>
        <v>4.9511500220575186</v>
      </c>
      <c r="H187" s="5">
        <f t="shared" si="10"/>
        <v>5.5555555555555554</v>
      </c>
      <c r="I187" s="5">
        <f t="shared" si="11"/>
        <v>9.6947173456991997</v>
      </c>
    </row>
    <row r="188" spans="1:9" x14ac:dyDescent="0.25">
      <c r="A188" s="8" t="s">
        <v>79</v>
      </c>
      <c r="B188" t="str">
        <f t="shared" si="8"/>
        <v>R750.562560</v>
      </c>
      <c r="C188">
        <f>9/16</f>
        <v>0.5625</v>
      </c>
      <c r="D188">
        <v>60</v>
      </c>
      <c r="E188" s="5">
        <v>0.48959999999999998</v>
      </c>
      <c r="F188" s="5">
        <v>20.399999999999999</v>
      </c>
      <c r="G188" s="5">
        <f t="shared" si="9"/>
        <v>5.0527365621039877</v>
      </c>
      <c r="H188" s="5">
        <f t="shared" si="10"/>
        <v>5.6666666666666661</v>
      </c>
      <c r="I188" s="5">
        <f t="shared" si="11"/>
        <v>9.6897986661732443</v>
      </c>
    </row>
    <row r="189" spans="1:9" x14ac:dyDescent="0.25">
      <c r="A189" s="8" t="s">
        <v>78</v>
      </c>
      <c r="B189" t="str">
        <f t="shared" si="8"/>
        <v>R75LP0.4062525</v>
      </c>
      <c r="C189">
        <f>13/32</f>
        <v>0.40625</v>
      </c>
      <c r="D189">
        <v>25</v>
      </c>
      <c r="E189" s="5">
        <v>0.12960000000000002</v>
      </c>
      <c r="F189" s="5">
        <v>14.9</v>
      </c>
      <c r="G189" s="5">
        <f t="shared" si="9"/>
        <v>3.6647338038582191</v>
      </c>
      <c r="H189" s="5">
        <f t="shared" si="10"/>
        <v>1.5000000000000002</v>
      </c>
      <c r="I189" s="5">
        <f t="shared" si="11"/>
        <v>3.5364096530983393</v>
      </c>
    </row>
    <row r="190" spans="1:9" x14ac:dyDescent="0.25">
      <c r="A190" s="8" t="s">
        <v>78</v>
      </c>
      <c r="B190" t="str">
        <f t="shared" si="8"/>
        <v>R75LP0.4062530</v>
      </c>
      <c r="C190">
        <f>13/32</f>
        <v>0.40625</v>
      </c>
      <c r="D190">
        <v>30</v>
      </c>
      <c r="E190" s="5">
        <v>0.13919999999999999</v>
      </c>
      <c r="F190" s="5">
        <v>15.5</v>
      </c>
      <c r="G190" s="5">
        <f t="shared" si="9"/>
        <v>3.8152286583357835</v>
      </c>
      <c r="H190" s="5">
        <f t="shared" si="10"/>
        <v>1.6111111111111109</v>
      </c>
      <c r="I190" s="5">
        <f t="shared" si="11"/>
        <v>3.6485362337553715</v>
      </c>
    </row>
    <row r="191" spans="1:9" x14ac:dyDescent="0.25">
      <c r="A191" s="8" t="s">
        <v>78</v>
      </c>
      <c r="B191" t="str">
        <f t="shared" si="8"/>
        <v>R75LP0.4062535</v>
      </c>
      <c r="C191">
        <f>13/32</f>
        <v>0.40625</v>
      </c>
      <c r="D191">
        <v>35</v>
      </c>
      <c r="E191" s="5">
        <v>0.15360000000000001</v>
      </c>
      <c r="F191" s="5">
        <v>16.5</v>
      </c>
      <c r="G191" s="5">
        <f t="shared" si="9"/>
        <v>4.0665560706229726</v>
      </c>
      <c r="H191" s="5">
        <f t="shared" si="10"/>
        <v>1.7777777777777779</v>
      </c>
      <c r="I191" s="5">
        <f t="shared" si="11"/>
        <v>3.7771519028008731</v>
      </c>
    </row>
    <row r="192" spans="1:9" x14ac:dyDescent="0.25">
      <c r="A192" s="8" t="s">
        <v>78</v>
      </c>
      <c r="B192" t="str">
        <f t="shared" si="8"/>
        <v>R75LP0.4062540</v>
      </c>
      <c r="C192">
        <f>13/32</f>
        <v>0.40625</v>
      </c>
      <c r="D192">
        <v>40</v>
      </c>
      <c r="E192" s="5">
        <v>0.16319999999999998</v>
      </c>
      <c r="F192" s="5">
        <v>16.5</v>
      </c>
      <c r="G192" s="5">
        <f t="shared" si="9"/>
        <v>4.0665560706229726</v>
      </c>
      <c r="H192" s="5">
        <f t="shared" si="10"/>
        <v>1.8888888888888886</v>
      </c>
      <c r="I192" s="5">
        <f t="shared" si="11"/>
        <v>4.0132238967259264</v>
      </c>
    </row>
    <row r="193" spans="1:9" x14ac:dyDescent="0.25">
      <c r="A193" s="8" t="s">
        <v>78</v>
      </c>
      <c r="B193" t="str">
        <f t="shared" si="8"/>
        <v>R75LP0.437525</v>
      </c>
      <c r="C193">
        <f>7/16</f>
        <v>0.4375</v>
      </c>
      <c r="D193">
        <v>25</v>
      </c>
      <c r="E193" s="5">
        <v>0.1512</v>
      </c>
      <c r="F193" s="5">
        <v>15.5</v>
      </c>
      <c r="G193" s="5">
        <f t="shared" si="9"/>
        <v>3.8152286583357835</v>
      </c>
      <c r="H193" s="5">
        <f t="shared" si="10"/>
        <v>1.75</v>
      </c>
      <c r="I193" s="5">
        <f t="shared" si="11"/>
        <v>3.9630652194239384</v>
      </c>
    </row>
    <row r="194" spans="1:9" x14ac:dyDescent="0.25">
      <c r="A194" s="8" t="s">
        <v>78</v>
      </c>
      <c r="B194" t="str">
        <f t="shared" si="8"/>
        <v>R75LP0.437530</v>
      </c>
      <c r="C194">
        <f>7/16</f>
        <v>0.4375</v>
      </c>
      <c r="D194">
        <v>30</v>
      </c>
      <c r="E194" s="5">
        <v>0.1608</v>
      </c>
      <c r="F194" s="5">
        <v>16.2</v>
      </c>
      <c r="G194" s="5">
        <f t="shared" si="9"/>
        <v>3.9910918734910794</v>
      </c>
      <c r="H194" s="5">
        <f t="shared" si="10"/>
        <v>1.8611111111111109</v>
      </c>
      <c r="I194" s="5">
        <f t="shared" si="11"/>
        <v>4.0289726495157172</v>
      </c>
    </row>
    <row r="195" spans="1:9" x14ac:dyDescent="0.25">
      <c r="A195" s="8" t="s">
        <v>78</v>
      </c>
      <c r="B195" t="str">
        <f t="shared" ref="B195:B212" si="12">A195&amp;C195&amp;D195</f>
        <v>R75LP0.437535</v>
      </c>
      <c r="C195">
        <f>7/16</f>
        <v>0.4375</v>
      </c>
      <c r="D195">
        <v>35</v>
      </c>
      <c r="E195" s="5">
        <v>0.18</v>
      </c>
      <c r="F195" s="5">
        <v>16.8</v>
      </c>
      <c r="G195" s="5">
        <f t="shared" ref="G195:G258" si="13">(PI()*(G$1+F195)^2)/10000-((PI()*(G$1)^2)/10000)</f>
        <v>4.142076816422616</v>
      </c>
      <c r="H195" s="5">
        <f t="shared" ref="H195:H258" si="14">E195/0.0864</f>
        <v>2.083333333333333</v>
      </c>
      <c r="I195" s="5">
        <f t="shared" ref="I195:I258" si="15">E195/G195*100</f>
        <v>4.3456461088874843</v>
      </c>
    </row>
    <row r="196" spans="1:9" x14ac:dyDescent="0.25">
      <c r="A196" s="8" t="s">
        <v>78</v>
      </c>
      <c r="B196" t="str">
        <f t="shared" si="12"/>
        <v>R75LP0.437540</v>
      </c>
      <c r="C196">
        <f>7/16</f>
        <v>0.4375</v>
      </c>
      <c r="D196">
        <v>40</v>
      </c>
      <c r="E196" s="5">
        <v>0.18719999999999998</v>
      </c>
      <c r="F196" s="5">
        <v>17.100000000000001</v>
      </c>
      <c r="G196" s="5">
        <f t="shared" si="13"/>
        <v>4.2176541108900309</v>
      </c>
      <c r="H196" s="5">
        <f t="shared" si="14"/>
        <v>2.1666666666666661</v>
      </c>
      <c r="I196" s="5">
        <f t="shared" si="15"/>
        <v>4.4384863025312447</v>
      </c>
    </row>
    <row r="197" spans="1:9" x14ac:dyDescent="0.25">
      <c r="A197" s="8" t="s">
        <v>78</v>
      </c>
      <c r="B197" t="str">
        <f t="shared" si="12"/>
        <v>R75LP0.4687525</v>
      </c>
      <c r="C197">
        <f>15/32</f>
        <v>0.46875</v>
      </c>
      <c r="D197">
        <v>25</v>
      </c>
      <c r="E197" s="5">
        <v>0.17039999999999997</v>
      </c>
      <c r="F197" s="5">
        <v>16.2</v>
      </c>
      <c r="G197" s="5">
        <f t="shared" si="13"/>
        <v>3.9910918734910794</v>
      </c>
      <c r="H197" s="5">
        <f t="shared" si="14"/>
        <v>1.9722222222222217</v>
      </c>
      <c r="I197" s="5">
        <f t="shared" si="15"/>
        <v>4.2695083300838181</v>
      </c>
    </row>
    <row r="198" spans="1:9" x14ac:dyDescent="0.25">
      <c r="A198" s="8" t="s">
        <v>78</v>
      </c>
      <c r="B198" t="str">
        <f t="shared" si="12"/>
        <v>R75LP0.4687530</v>
      </c>
      <c r="C198">
        <f>15/32</f>
        <v>0.46875</v>
      </c>
      <c r="D198">
        <v>30</v>
      </c>
      <c r="E198" s="5">
        <v>0.18239999999999998</v>
      </c>
      <c r="F198" s="5">
        <v>16.5</v>
      </c>
      <c r="G198" s="5">
        <f t="shared" si="13"/>
        <v>4.0665560706229726</v>
      </c>
      <c r="H198" s="5">
        <f t="shared" si="14"/>
        <v>2.1111111111111107</v>
      </c>
      <c r="I198" s="5">
        <f t="shared" si="15"/>
        <v>4.4853678845760347</v>
      </c>
    </row>
    <row r="199" spans="1:9" x14ac:dyDescent="0.25">
      <c r="A199" s="8" t="s">
        <v>78</v>
      </c>
      <c r="B199" t="str">
        <f t="shared" si="12"/>
        <v>R75LP0.4687535</v>
      </c>
      <c r="C199">
        <f>15/32</f>
        <v>0.46875</v>
      </c>
      <c r="D199">
        <v>35</v>
      </c>
      <c r="E199" s="5">
        <v>0.20399999999999999</v>
      </c>
      <c r="F199" s="5">
        <v>16.8</v>
      </c>
      <c r="G199" s="5">
        <f t="shared" si="13"/>
        <v>4.142076816422616</v>
      </c>
      <c r="H199" s="5">
        <f t="shared" si="14"/>
        <v>2.3611111111111107</v>
      </c>
      <c r="I199" s="5">
        <f t="shared" si="15"/>
        <v>4.9250655900724816</v>
      </c>
    </row>
    <row r="200" spans="1:9" x14ac:dyDescent="0.25">
      <c r="A200" s="8" t="s">
        <v>78</v>
      </c>
      <c r="B200" t="str">
        <f t="shared" si="12"/>
        <v>R75LP0.4687540</v>
      </c>
      <c r="C200">
        <f>15/32</f>
        <v>0.46875</v>
      </c>
      <c r="D200">
        <v>40</v>
      </c>
      <c r="E200" s="5">
        <v>0.216</v>
      </c>
      <c r="F200" s="5">
        <v>17.100000000000001</v>
      </c>
      <c r="G200" s="5">
        <f t="shared" si="13"/>
        <v>4.2176541108900309</v>
      </c>
      <c r="H200" s="5">
        <f t="shared" si="14"/>
        <v>2.5</v>
      </c>
      <c r="I200" s="5">
        <f t="shared" si="15"/>
        <v>5.1213303490745137</v>
      </c>
    </row>
    <row r="201" spans="1:9" x14ac:dyDescent="0.25">
      <c r="A201" s="8" t="s">
        <v>78</v>
      </c>
      <c r="B201" t="str">
        <f t="shared" si="12"/>
        <v>R75LP0.525</v>
      </c>
      <c r="C201">
        <f>1/2</f>
        <v>0.5</v>
      </c>
      <c r="D201">
        <v>25</v>
      </c>
      <c r="E201" s="5">
        <v>0.19439999999999999</v>
      </c>
      <c r="F201" s="5">
        <v>16.8</v>
      </c>
      <c r="G201" s="5">
        <f t="shared" si="13"/>
        <v>4.142076816422616</v>
      </c>
      <c r="H201" s="5">
        <f t="shared" si="14"/>
        <v>2.2499999999999996</v>
      </c>
      <c r="I201" s="5">
        <f t="shared" si="15"/>
        <v>4.6932977975984826</v>
      </c>
    </row>
    <row r="202" spans="1:9" x14ac:dyDescent="0.25">
      <c r="A202" s="8" t="s">
        <v>78</v>
      </c>
      <c r="B202" t="str">
        <f t="shared" si="12"/>
        <v>R75LP0.530</v>
      </c>
      <c r="C202">
        <f>1/2</f>
        <v>0.5</v>
      </c>
      <c r="D202">
        <v>30</v>
      </c>
      <c r="E202" s="5">
        <v>0.20879999999999999</v>
      </c>
      <c r="F202" s="5">
        <v>17.399999999999999</v>
      </c>
      <c r="G202" s="5">
        <f t="shared" si="13"/>
        <v>4.293287954025196</v>
      </c>
      <c r="H202" s="5">
        <f t="shared" si="14"/>
        <v>2.4166666666666665</v>
      </c>
      <c r="I202" s="5">
        <f t="shared" si="15"/>
        <v>4.8634054420747246</v>
      </c>
    </row>
    <row r="203" spans="1:9" x14ac:dyDescent="0.25">
      <c r="A203" s="8" t="s">
        <v>78</v>
      </c>
      <c r="B203" t="str">
        <f t="shared" si="12"/>
        <v>R75LP0.535</v>
      </c>
      <c r="C203">
        <f>1/2</f>
        <v>0.5</v>
      </c>
      <c r="D203">
        <v>35</v>
      </c>
      <c r="E203" s="5">
        <v>0.23279999999999998</v>
      </c>
      <c r="F203" s="5">
        <v>18</v>
      </c>
      <c r="G203" s="5">
        <f t="shared" si="13"/>
        <v>4.4447252862988407</v>
      </c>
      <c r="H203" s="5">
        <f t="shared" si="14"/>
        <v>2.6944444444444442</v>
      </c>
      <c r="I203" s="5">
        <f t="shared" si="15"/>
        <v>5.237669034746002</v>
      </c>
    </row>
    <row r="204" spans="1:9" x14ac:dyDescent="0.25">
      <c r="A204" s="8" t="s">
        <v>78</v>
      </c>
      <c r="B204" t="str">
        <f t="shared" si="12"/>
        <v>R75LP0.540</v>
      </c>
      <c r="C204">
        <f>1/2</f>
        <v>0.5</v>
      </c>
      <c r="D204">
        <v>40</v>
      </c>
      <c r="E204" s="5">
        <v>0.24479999999999999</v>
      </c>
      <c r="F204" s="5">
        <v>18.3</v>
      </c>
      <c r="G204" s="5">
        <f t="shared" si="13"/>
        <v>4.5205287754373131</v>
      </c>
      <c r="H204" s="5">
        <f t="shared" si="14"/>
        <v>2.833333333333333</v>
      </c>
      <c r="I204" s="5">
        <f t="shared" si="15"/>
        <v>5.4152956912948351</v>
      </c>
    </row>
    <row r="205" spans="1:9" x14ac:dyDescent="0.25">
      <c r="A205" s="8" t="s">
        <v>78</v>
      </c>
      <c r="B205" t="str">
        <f t="shared" si="12"/>
        <v>R75LP0.5312525</v>
      </c>
      <c r="C205">
        <f>17/32</f>
        <v>0.53125</v>
      </c>
      <c r="D205">
        <v>25</v>
      </c>
      <c r="E205" s="5">
        <v>0.2208</v>
      </c>
      <c r="F205" s="5">
        <v>16.8</v>
      </c>
      <c r="G205" s="5">
        <f t="shared" si="13"/>
        <v>4.142076816422616</v>
      </c>
      <c r="H205" s="5">
        <f t="shared" si="14"/>
        <v>2.5555555555555554</v>
      </c>
      <c r="I205" s="5">
        <f t="shared" si="15"/>
        <v>5.3306592269019806</v>
      </c>
    </row>
    <row r="206" spans="1:9" x14ac:dyDescent="0.25">
      <c r="A206" s="8" t="s">
        <v>78</v>
      </c>
      <c r="B206" t="str">
        <f t="shared" si="12"/>
        <v>R75LP0.5312530</v>
      </c>
      <c r="C206">
        <f>17/32</f>
        <v>0.53125</v>
      </c>
      <c r="D206">
        <v>30</v>
      </c>
      <c r="E206" s="5">
        <v>0.23520000000000002</v>
      </c>
      <c r="F206" s="5">
        <v>17.399999999999999</v>
      </c>
      <c r="G206" s="5">
        <f t="shared" si="13"/>
        <v>4.293287954025196</v>
      </c>
      <c r="H206" s="5">
        <f t="shared" si="14"/>
        <v>2.7222222222222223</v>
      </c>
      <c r="I206" s="5">
        <f t="shared" si="15"/>
        <v>5.4783187738313002</v>
      </c>
    </row>
    <row r="207" spans="1:9" x14ac:dyDescent="0.25">
      <c r="A207" s="8" t="s">
        <v>78</v>
      </c>
      <c r="B207" t="str">
        <f t="shared" si="12"/>
        <v>R75LP0.5312535</v>
      </c>
      <c r="C207">
        <f>17/32</f>
        <v>0.53125</v>
      </c>
      <c r="D207">
        <v>35</v>
      </c>
      <c r="E207" s="5">
        <v>0.2616</v>
      </c>
      <c r="F207" s="5">
        <v>18</v>
      </c>
      <c r="G207" s="5">
        <f t="shared" si="13"/>
        <v>4.4447252862988407</v>
      </c>
      <c r="H207" s="5">
        <f t="shared" si="14"/>
        <v>3.0277777777777777</v>
      </c>
      <c r="I207" s="5">
        <f t="shared" si="15"/>
        <v>5.8856280905908696</v>
      </c>
    </row>
    <row r="208" spans="1:9" x14ac:dyDescent="0.25">
      <c r="A208" s="8" t="s">
        <v>78</v>
      </c>
      <c r="B208" t="str">
        <f t="shared" si="12"/>
        <v>R75LP0.5312540</v>
      </c>
      <c r="C208">
        <f>17/32</f>
        <v>0.53125</v>
      </c>
      <c r="D208">
        <v>40</v>
      </c>
      <c r="E208" s="5">
        <v>0.27600000000000002</v>
      </c>
      <c r="F208" s="5">
        <v>18.3</v>
      </c>
      <c r="G208" s="5">
        <f t="shared" si="13"/>
        <v>4.5205287754373131</v>
      </c>
      <c r="H208" s="5">
        <f t="shared" si="14"/>
        <v>3.1944444444444446</v>
      </c>
      <c r="I208" s="5">
        <f t="shared" si="15"/>
        <v>6.1054804362637851</v>
      </c>
    </row>
    <row r="209" spans="1:9" x14ac:dyDescent="0.25">
      <c r="A209" s="8" t="s">
        <v>78</v>
      </c>
      <c r="B209" t="str">
        <f t="shared" si="12"/>
        <v>R75LP0.562525</v>
      </c>
      <c r="C209">
        <f>9/16</f>
        <v>0.5625</v>
      </c>
      <c r="D209">
        <v>25</v>
      </c>
      <c r="E209" s="5">
        <v>0.24479999999999999</v>
      </c>
      <c r="F209" s="5">
        <v>17.100000000000001</v>
      </c>
      <c r="G209" s="5">
        <f t="shared" si="13"/>
        <v>4.2176541108900309</v>
      </c>
      <c r="H209" s="5">
        <f t="shared" si="14"/>
        <v>2.833333333333333</v>
      </c>
      <c r="I209" s="5">
        <f t="shared" si="15"/>
        <v>5.8041743956177818</v>
      </c>
    </row>
    <row r="210" spans="1:9" x14ac:dyDescent="0.25">
      <c r="A210" s="8" t="s">
        <v>78</v>
      </c>
      <c r="B210" t="str">
        <f t="shared" si="12"/>
        <v>R75LP0.562530</v>
      </c>
      <c r="C210">
        <f>9/16</f>
        <v>0.5625</v>
      </c>
      <c r="D210">
        <v>30</v>
      </c>
      <c r="E210" s="5">
        <v>0.2616</v>
      </c>
      <c r="F210" s="5">
        <v>17.7</v>
      </c>
      <c r="G210" s="5">
        <f t="shared" si="13"/>
        <v>4.3689783458281326</v>
      </c>
      <c r="H210" s="5">
        <f t="shared" si="14"/>
        <v>3.0277777777777777</v>
      </c>
      <c r="I210" s="5">
        <f t="shared" si="15"/>
        <v>5.987669869085015</v>
      </c>
    </row>
    <row r="211" spans="1:9" x14ac:dyDescent="0.25">
      <c r="A211" s="8" t="s">
        <v>78</v>
      </c>
      <c r="B211" t="str">
        <f t="shared" si="12"/>
        <v>R75LP0.562535</v>
      </c>
      <c r="C211">
        <f>9/16</f>
        <v>0.5625</v>
      </c>
      <c r="D211">
        <v>35</v>
      </c>
      <c r="E211" s="5">
        <v>0.29039999999999999</v>
      </c>
      <c r="F211" s="5">
        <v>18.3</v>
      </c>
      <c r="G211" s="5">
        <f t="shared" si="13"/>
        <v>4.5205287754373131</v>
      </c>
      <c r="H211" s="5">
        <f t="shared" si="14"/>
        <v>3.3611111111111107</v>
      </c>
      <c r="I211" s="5">
        <f t="shared" si="15"/>
        <v>6.4240272416340689</v>
      </c>
    </row>
    <row r="212" spans="1:9" x14ac:dyDescent="0.25">
      <c r="A212" s="8" t="s">
        <v>78</v>
      </c>
      <c r="B212" t="str">
        <f t="shared" si="12"/>
        <v>R75LP0.562540</v>
      </c>
      <c r="C212">
        <f>9/16</f>
        <v>0.5625</v>
      </c>
      <c r="D212">
        <v>40</v>
      </c>
      <c r="E212" s="5">
        <v>0.30479999999999996</v>
      </c>
      <c r="F212" s="5">
        <v>18.600000000000001</v>
      </c>
      <c r="G212" s="5">
        <f t="shared" si="13"/>
        <v>4.59638881324355</v>
      </c>
      <c r="H212" s="5">
        <f t="shared" si="14"/>
        <v>3.5277777777777772</v>
      </c>
      <c r="I212" s="5">
        <f t="shared" si="15"/>
        <v>6.631292790587719</v>
      </c>
    </row>
    <row r="213" spans="1:9" x14ac:dyDescent="0.25">
      <c r="A213" s="8" t="s">
        <v>82</v>
      </c>
      <c r="B213" t="s">
        <v>167</v>
      </c>
      <c r="C213">
        <v>0.5</v>
      </c>
      <c r="D213">
        <v>40</v>
      </c>
      <c r="E213" s="5">
        <v>0.25614999999999999</v>
      </c>
      <c r="F213" s="5">
        <v>29.260800000000003</v>
      </c>
      <c r="G213" s="5">
        <f t="shared" si="13"/>
        <v>7.3288609085708032</v>
      </c>
      <c r="H213" s="5">
        <f t="shared" si="14"/>
        <v>2.964699074074074</v>
      </c>
      <c r="I213" s="5">
        <f t="shared" si="15"/>
        <v>3.4950861149574153</v>
      </c>
    </row>
    <row r="214" spans="1:9" x14ac:dyDescent="0.25">
      <c r="A214" s="8" t="s">
        <v>82</v>
      </c>
      <c r="B214" t="s">
        <v>168</v>
      </c>
      <c r="C214">
        <v>0.5</v>
      </c>
      <c r="D214">
        <v>50</v>
      </c>
      <c r="E214" s="5">
        <v>0.27250000000000002</v>
      </c>
      <c r="F214" s="5">
        <v>31.394400000000001</v>
      </c>
      <c r="G214" s="5">
        <f t="shared" si="13"/>
        <v>7.8843003754113425</v>
      </c>
      <c r="H214" s="5">
        <f t="shared" si="14"/>
        <v>3.1539351851851851</v>
      </c>
      <c r="I214" s="5">
        <f t="shared" si="15"/>
        <v>3.4562356458391919</v>
      </c>
    </row>
    <row r="215" spans="1:9" x14ac:dyDescent="0.25">
      <c r="A215" s="8" t="s">
        <v>82</v>
      </c>
      <c r="B215" t="s">
        <v>169</v>
      </c>
      <c r="C215">
        <v>0.5</v>
      </c>
      <c r="D215">
        <v>60</v>
      </c>
      <c r="E215" s="5">
        <v>0.29975000000000002</v>
      </c>
      <c r="F215" s="5">
        <v>32.918399999999998</v>
      </c>
      <c r="G215" s="5">
        <f t="shared" si="13"/>
        <v>8.2827940327737792</v>
      </c>
      <c r="H215" s="5">
        <f t="shared" si="14"/>
        <v>3.4693287037037037</v>
      </c>
      <c r="I215" s="5">
        <f t="shared" si="15"/>
        <v>3.6189478914232813</v>
      </c>
    </row>
    <row r="216" spans="1:9" x14ac:dyDescent="0.25">
      <c r="A216" s="8" t="s">
        <v>82</v>
      </c>
      <c r="B216" t="s">
        <v>170</v>
      </c>
      <c r="C216">
        <v>0.5</v>
      </c>
      <c r="D216">
        <v>70</v>
      </c>
      <c r="E216" s="5">
        <v>0.32700000000000001</v>
      </c>
      <c r="F216" s="5">
        <v>34.442399999999999</v>
      </c>
      <c r="G216" s="5">
        <f t="shared" si="13"/>
        <v>8.6827470076760207</v>
      </c>
      <c r="H216" s="5">
        <f t="shared" si="14"/>
        <v>3.7847222222222223</v>
      </c>
      <c r="I216" s="5">
        <f t="shared" si="15"/>
        <v>3.7660892308726055</v>
      </c>
    </row>
    <row r="217" spans="1:9" x14ac:dyDescent="0.25">
      <c r="A217" s="8" t="s">
        <v>82</v>
      </c>
      <c r="B217" t="s">
        <v>171</v>
      </c>
      <c r="C217">
        <v>0.5</v>
      </c>
      <c r="D217">
        <v>80</v>
      </c>
      <c r="E217" s="5">
        <v>0.3488</v>
      </c>
      <c r="F217" s="5">
        <v>35.9664</v>
      </c>
      <c r="G217" s="5">
        <f t="shared" si="13"/>
        <v>9.0841593001180527</v>
      </c>
      <c r="H217" s="5">
        <f t="shared" si="14"/>
        <v>4.0370370370370372</v>
      </c>
      <c r="I217" s="5">
        <f t="shared" si="15"/>
        <v>3.839650852396074</v>
      </c>
    </row>
    <row r="218" spans="1:9" x14ac:dyDescent="0.25">
      <c r="A218" s="8" t="s">
        <v>82</v>
      </c>
      <c r="B218" t="s">
        <v>172</v>
      </c>
      <c r="C218">
        <v>0.5</v>
      </c>
      <c r="D218">
        <v>90</v>
      </c>
      <c r="E218" s="5">
        <v>0.37059999999999998</v>
      </c>
      <c r="F218" s="5">
        <v>37.490400000000001</v>
      </c>
      <c r="G218" s="5">
        <f t="shared" si="13"/>
        <v>9.4870309100998966</v>
      </c>
      <c r="H218" s="5">
        <f t="shared" si="14"/>
        <v>4.2893518518518512</v>
      </c>
      <c r="I218" s="5">
        <f t="shared" si="15"/>
        <v>3.9063855015530633</v>
      </c>
    </row>
    <row r="219" spans="1:9" x14ac:dyDescent="0.25">
      <c r="A219" s="8" t="s">
        <v>82</v>
      </c>
      <c r="B219" t="s">
        <v>173</v>
      </c>
      <c r="C219">
        <v>0.5</v>
      </c>
      <c r="D219">
        <v>100</v>
      </c>
      <c r="E219" s="5">
        <v>0.39239999999999997</v>
      </c>
      <c r="F219" s="5">
        <v>39.014400000000002</v>
      </c>
      <c r="G219" s="5">
        <f t="shared" si="13"/>
        <v>9.8913618376215311</v>
      </c>
      <c r="H219" s="5">
        <f t="shared" si="14"/>
        <v>4.5416666666666661</v>
      </c>
      <c r="I219" s="5">
        <f t="shared" si="15"/>
        <v>3.9670978217328687</v>
      </c>
    </row>
    <row r="220" spans="1:9" x14ac:dyDescent="0.25">
      <c r="A220" s="8" t="s">
        <v>82</v>
      </c>
      <c r="B220" t="s">
        <v>174</v>
      </c>
      <c r="C220">
        <v>0.5</v>
      </c>
      <c r="D220">
        <v>110</v>
      </c>
      <c r="E220" s="5">
        <v>0.41420000000000001</v>
      </c>
      <c r="F220" s="5">
        <v>40.538400000000003</v>
      </c>
      <c r="G220" s="5">
        <f t="shared" si="13"/>
        <v>10.297152082682977</v>
      </c>
      <c r="H220" s="5">
        <f t="shared" si="14"/>
        <v>4.793981481481481</v>
      </c>
      <c r="I220" s="5">
        <f t="shared" si="15"/>
        <v>4.0224714238859534</v>
      </c>
    </row>
    <row r="221" spans="1:9" x14ac:dyDescent="0.25">
      <c r="A221" s="8" t="s">
        <v>82</v>
      </c>
      <c r="B221" t="s">
        <v>175</v>
      </c>
      <c r="C221">
        <v>0.55000000000000004</v>
      </c>
      <c r="D221">
        <v>40</v>
      </c>
      <c r="E221" s="5">
        <v>0.31064999999999998</v>
      </c>
      <c r="F221" s="5">
        <v>30.784800000000001</v>
      </c>
      <c r="G221" s="5">
        <f t="shared" si="13"/>
        <v>7.7253115213775132</v>
      </c>
      <c r="H221" s="5">
        <f t="shared" si="14"/>
        <v>3.5954861111111107</v>
      </c>
      <c r="I221" s="5">
        <f t="shared" si="15"/>
        <v>4.0211970629322593</v>
      </c>
    </row>
    <row r="222" spans="1:9" x14ac:dyDescent="0.25">
      <c r="A222" s="8" t="s">
        <v>82</v>
      </c>
      <c r="B222" t="s">
        <v>176</v>
      </c>
      <c r="C222">
        <v>0.55000000000000004</v>
      </c>
      <c r="D222">
        <v>50</v>
      </c>
      <c r="E222" s="5">
        <v>0.3488</v>
      </c>
      <c r="F222" s="5">
        <v>32.918399999999998</v>
      </c>
      <c r="G222" s="5">
        <f t="shared" si="13"/>
        <v>8.2827940327737792</v>
      </c>
      <c r="H222" s="5">
        <f t="shared" si="14"/>
        <v>4.0370370370370372</v>
      </c>
      <c r="I222" s="5">
        <f t="shared" si="15"/>
        <v>4.2111393645652724</v>
      </c>
    </row>
    <row r="223" spans="1:9" x14ac:dyDescent="0.25">
      <c r="A223" s="8" t="s">
        <v>82</v>
      </c>
      <c r="B223" t="s">
        <v>177</v>
      </c>
      <c r="C223">
        <v>0.55000000000000004</v>
      </c>
      <c r="D223">
        <v>60</v>
      </c>
      <c r="E223" s="5">
        <v>0.37605</v>
      </c>
      <c r="F223" s="5">
        <v>34.747199999999999</v>
      </c>
      <c r="G223" s="5">
        <f t="shared" si="13"/>
        <v>8.7629127207612498</v>
      </c>
      <c r="H223" s="5">
        <f t="shared" si="14"/>
        <v>4.3524305555555554</v>
      </c>
      <c r="I223" s="5">
        <f t="shared" si="15"/>
        <v>4.2913813247170154</v>
      </c>
    </row>
    <row r="224" spans="1:9" x14ac:dyDescent="0.25">
      <c r="A224" s="8" t="s">
        <v>82</v>
      </c>
      <c r="B224" t="s">
        <v>178</v>
      </c>
      <c r="C224">
        <v>0.55000000000000004</v>
      </c>
      <c r="D224">
        <v>70</v>
      </c>
      <c r="E224" s="5">
        <v>0.40875</v>
      </c>
      <c r="F224" s="5">
        <v>36.2712</v>
      </c>
      <c r="G224" s="5">
        <f t="shared" si="13"/>
        <v>9.1646168767112357</v>
      </c>
      <c r="H224" s="5">
        <f t="shared" si="14"/>
        <v>4.7309027777777777</v>
      </c>
      <c r="I224" s="5">
        <f t="shared" si="15"/>
        <v>4.4600882448092234</v>
      </c>
    </row>
    <row r="225" spans="1:9" x14ac:dyDescent="0.25">
      <c r="A225" s="8" t="s">
        <v>82</v>
      </c>
      <c r="B225" t="s">
        <v>179</v>
      </c>
      <c r="C225">
        <v>0.55000000000000004</v>
      </c>
      <c r="D225">
        <v>80</v>
      </c>
      <c r="E225" s="5">
        <v>0.43054999999999999</v>
      </c>
      <c r="F225" s="5">
        <v>37.795200000000001</v>
      </c>
      <c r="G225" s="5">
        <f t="shared" si="13"/>
        <v>9.5677803502010477</v>
      </c>
      <c r="H225" s="5">
        <f t="shared" si="14"/>
        <v>4.9832175925925926</v>
      </c>
      <c r="I225" s="5">
        <f t="shared" si="15"/>
        <v>4.4999987901159635</v>
      </c>
    </row>
    <row r="226" spans="1:9" x14ac:dyDescent="0.25">
      <c r="A226" s="8" t="s">
        <v>82</v>
      </c>
      <c r="B226" t="s">
        <v>180</v>
      </c>
      <c r="C226">
        <v>0.55000000000000004</v>
      </c>
      <c r="D226">
        <v>90</v>
      </c>
      <c r="E226" s="5">
        <v>0.45234999999999997</v>
      </c>
      <c r="F226" s="5">
        <v>39.319200000000002</v>
      </c>
      <c r="G226" s="5">
        <f t="shared" si="13"/>
        <v>9.9724031412306431</v>
      </c>
      <c r="H226" s="5">
        <f t="shared" si="14"/>
        <v>5.2355324074074066</v>
      </c>
      <c r="I226" s="5">
        <f t="shared" si="15"/>
        <v>4.5360179847700959</v>
      </c>
    </row>
    <row r="227" spans="1:9" x14ac:dyDescent="0.25">
      <c r="A227" s="8" t="s">
        <v>82</v>
      </c>
      <c r="B227" t="s">
        <v>181</v>
      </c>
      <c r="C227">
        <v>0.55000000000000004</v>
      </c>
      <c r="D227">
        <v>100</v>
      </c>
      <c r="E227" s="5">
        <v>0.47415000000000002</v>
      </c>
      <c r="F227" s="5">
        <v>40.843200000000003</v>
      </c>
      <c r="G227" s="5">
        <f t="shared" si="13"/>
        <v>10.378485249800043</v>
      </c>
      <c r="H227" s="5">
        <f t="shared" si="14"/>
        <v>5.4878472222222223</v>
      </c>
      <c r="I227" s="5">
        <f t="shared" si="15"/>
        <v>4.5685857674571073</v>
      </c>
    </row>
    <row r="228" spans="1:9" x14ac:dyDescent="0.25">
      <c r="A228" s="8" t="s">
        <v>82</v>
      </c>
      <c r="B228" t="s">
        <v>182</v>
      </c>
      <c r="C228">
        <v>0.55000000000000004</v>
      </c>
      <c r="D228">
        <v>110</v>
      </c>
      <c r="E228" s="5">
        <v>0.50139999999999996</v>
      </c>
      <c r="F228" s="5">
        <v>42.367200000000004</v>
      </c>
      <c r="G228" s="5">
        <f t="shared" si="13"/>
        <v>10.786026675909241</v>
      </c>
      <c r="H228" s="5">
        <f t="shared" si="14"/>
        <v>5.8032407407407396</v>
      </c>
      <c r="I228" s="5">
        <f t="shared" si="15"/>
        <v>4.648607082716425</v>
      </c>
    </row>
    <row r="229" spans="1:9" x14ac:dyDescent="0.25">
      <c r="A229" s="8" t="s">
        <v>82</v>
      </c>
      <c r="B229" t="s">
        <v>183</v>
      </c>
      <c r="C229">
        <v>0.6</v>
      </c>
      <c r="D229">
        <v>40</v>
      </c>
      <c r="E229" s="5">
        <v>0.35970000000000002</v>
      </c>
      <c r="F229" s="5">
        <v>32.613599999999998</v>
      </c>
      <c r="G229" s="5">
        <f t="shared" si="13"/>
        <v>8.2029785558981061</v>
      </c>
      <c r="H229" s="5">
        <f t="shared" si="14"/>
        <v>4.1631944444444446</v>
      </c>
      <c r="I229" s="5">
        <f t="shared" si="15"/>
        <v>4.3849925676249448</v>
      </c>
    </row>
    <row r="230" spans="1:9" x14ac:dyDescent="0.25">
      <c r="A230" s="8" t="s">
        <v>82</v>
      </c>
      <c r="B230" t="s">
        <v>184</v>
      </c>
      <c r="C230">
        <v>0.6</v>
      </c>
      <c r="D230">
        <v>50</v>
      </c>
      <c r="E230" s="5">
        <v>0.40329999999999999</v>
      </c>
      <c r="F230" s="5">
        <v>34.442399999999999</v>
      </c>
      <c r="G230" s="5">
        <f t="shared" si="13"/>
        <v>8.6827470076760207</v>
      </c>
      <c r="H230" s="5">
        <f t="shared" si="14"/>
        <v>4.6678240740740735</v>
      </c>
      <c r="I230" s="5">
        <f t="shared" si="15"/>
        <v>4.6448433847428801</v>
      </c>
    </row>
    <row r="231" spans="1:9" x14ac:dyDescent="0.25">
      <c r="A231" s="8" t="s">
        <v>82</v>
      </c>
      <c r="B231" t="s">
        <v>185</v>
      </c>
      <c r="C231">
        <v>0.6</v>
      </c>
      <c r="D231">
        <v>60</v>
      </c>
      <c r="E231" s="5">
        <v>0.47415000000000002</v>
      </c>
      <c r="F231" s="5">
        <v>36.576000000000001</v>
      </c>
      <c r="G231" s="5">
        <f t="shared" si="13"/>
        <v>9.2451328260060279</v>
      </c>
      <c r="H231" s="5">
        <f t="shared" si="14"/>
        <v>5.4878472222222223</v>
      </c>
      <c r="I231" s="5">
        <f t="shared" si="15"/>
        <v>5.1286445411172821</v>
      </c>
    </row>
    <row r="232" spans="1:9" x14ac:dyDescent="0.25">
      <c r="A232" s="8" t="s">
        <v>82</v>
      </c>
      <c r="B232" t="s">
        <v>186</v>
      </c>
      <c r="C232">
        <v>0.6</v>
      </c>
      <c r="D232">
        <v>70</v>
      </c>
      <c r="E232" s="5">
        <v>0.47960000000000003</v>
      </c>
      <c r="F232" s="5">
        <v>38.1</v>
      </c>
      <c r="G232" s="5">
        <f t="shared" si="13"/>
        <v>9.6485881630037866</v>
      </c>
      <c r="H232" s="5">
        <f t="shared" si="14"/>
        <v>5.5509259259259256</v>
      </c>
      <c r="I232" s="5">
        <f t="shared" si="15"/>
        <v>4.970675417974225</v>
      </c>
    </row>
    <row r="233" spans="1:9" x14ac:dyDescent="0.25">
      <c r="A233" s="8" t="s">
        <v>82</v>
      </c>
      <c r="B233" t="s">
        <v>187</v>
      </c>
      <c r="C233">
        <v>0.6</v>
      </c>
      <c r="D233">
        <v>80</v>
      </c>
      <c r="E233" s="5">
        <v>0.51229999999999998</v>
      </c>
      <c r="F233" s="5">
        <v>39.624000000000002</v>
      </c>
      <c r="G233" s="5">
        <f t="shared" si="13"/>
        <v>10.053502817541336</v>
      </c>
      <c r="H233" s="5">
        <f t="shared" si="14"/>
        <v>5.9293981481481479</v>
      </c>
      <c r="I233" s="5">
        <f t="shared" si="15"/>
        <v>5.0957363746508308</v>
      </c>
    </row>
    <row r="234" spans="1:9" x14ac:dyDescent="0.25">
      <c r="A234" s="8" t="s">
        <v>82</v>
      </c>
      <c r="B234" t="s">
        <v>188</v>
      </c>
      <c r="C234">
        <v>0.6</v>
      </c>
      <c r="D234">
        <v>90</v>
      </c>
      <c r="E234" s="5">
        <v>0.54500000000000004</v>
      </c>
      <c r="F234" s="5">
        <v>41.148000000000003</v>
      </c>
      <c r="G234" s="5">
        <f t="shared" si="13"/>
        <v>10.459876789618697</v>
      </c>
      <c r="H234" s="5">
        <f t="shared" si="14"/>
        <v>6.3078703703703702</v>
      </c>
      <c r="I234" s="5">
        <f t="shared" si="15"/>
        <v>5.2103864219596359</v>
      </c>
    </row>
    <row r="235" spans="1:9" x14ac:dyDescent="0.25">
      <c r="A235" s="8" t="s">
        <v>82</v>
      </c>
      <c r="B235" t="s">
        <v>189</v>
      </c>
      <c r="C235">
        <v>0.6</v>
      </c>
      <c r="D235">
        <v>100</v>
      </c>
      <c r="E235" s="5">
        <v>0.57769999999999999</v>
      </c>
      <c r="F235" s="5">
        <v>42.672000000000004</v>
      </c>
      <c r="G235" s="5">
        <f t="shared" si="13"/>
        <v>10.867710079235856</v>
      </c>
      <c r="H235" s="5">
        <f t="shared" si="14"/>
        <v>6.6863425925925926</v>
      </c>
      <c r="I235" s="5">
        <f t="shared" si="15"/>
        <v>5.3157472529909446</v>
      </c>
    </row>
    <row r="236" spans="1:9" x14ac:dyDescent="0.25">
      <c r="A236" s="8" t="s">
        <v>82</v>
      </c>
      <c r="B236" t="s">
        <v>190</v>
      </c>
      <c r="C236">
        <v>0.6</v>
      </c>
      <c r="D236">
        <v>110</v>
      </c>
      <c r="E236" s="5">
        <v>0.60494999999999999</v>
      </c>
      <c r="F236" s="5">
        <v>44.196000000000005</v>
      </c>
      <c r="G236" s="5">
        <f t="shared" si="13"/>
        <v>11.277002686392827</v>
      </c>
      <c r="H236" s="5">
        <f t="shared" si="14"/>
        <v>7.0017361111111107</v>
      </c>
      <c r="I236" s="5">
        <f t="shared" si="15"/>
        <v>5.3644573547007397</v>
      </c>
    </row>
    <row r="237" spans="1:9" x14ac:dyDescent="0.25">
      <c r="A237" s="8" t="s">
        <v>82</v>
      </c>
      <c r="B237" t="s">
        <v>191</v>
      </c>
      <c r="C237">
        <v>0.65</v>
      </c>
      <c r="D237">
        <v>40</v>
      </c>
      <c r="E237" s="5">
        <v>0.42509999999999998</v>
      </c>
      <c r="F237" s="5">
        <v>33.832799999999999</v>
      </c>
      <c r="G237" s="5">
        <f t="shared" si="13"/>
        <v>8.5225906996103404</v>
      </c>
      <c r="H237" s="5">
        <f t="shared" si="14"/>
        <v>4.9201388888888884</v>
      </c>
      <c r="I237" s="5">
        <f t="shared" si="15"/>
        <v>4.9879199293172194</v>
      </c>
    </row>
    <row r="238" spans="1:9" x14ac:dyDescent="0.25">
      <c r="A238" s="8" t="s">
        <v>82</v>
      </c>
      <c r="B238" t="s">
        <v>192</v>
      </c>
      <c r="C238">
        <v>0.65</v>
      </c>
      <c r="D238">
        <v>50</v>
      </c>
      <c r="E238" s="5">
        <v>0.47415000000000002</v>
      </c>
      <c r="F238" s="5">
        <v>35.9664</v>
      </c>
      <c r="G238" s="5">
        <f t="shared" si="13"/>
        <v>9.0841593001180527</v>
      </c>
      <c r="H238" s="5">
        <f t="shared" si="14"/>
        <v>5.4878472222222223</v>
      </c>
      <c r="I238" s="5">
        <f t="shared" si="15"/>
        <v>5.2195253774759127</v>
      </c>
    </row>
    <row r="239" spans="1:9" x14ac:dyDescent="0.25">
      <c r="A239" s="8" t="s">
        <v>82</v>
      </c>
      <c r="B239" t="s">
        <v>193</v>
      </c>
      <c r="C239">
        <v>0.65</v>
      </c>
      <c r="D239">
        <v>60</v>
      </c>
      <c r="E239" s="5">
        <v>0.5232</v>
      </c>
      <c r="F239" s="5">
        <v>38.1</v>
      </c>
      <c r="G239" s="5">
        <f t="shared" si="13"/>
        <v>9.6485881630037866</v>
      </c>
      <c r="H239" s="5">
        <f t="shared" si="14"/>
        <v>6.0555555555555554</v>
      </c>
      <c r="I239" s="5">
        <f t="shared" si="15"/>
        <v>5.422555001426427</v>
      </c>
    </row>
    <row r="240" spans="1:9" x14ac:dyDescent="0.25">
      <c r="A240" s="8" t="s">
        <v>82</v>
      </c>
      <c r="B240" t="s">
        <v>194</v>
      </c>
      <c r="C240">
        <v>0.65</v>
      </c>
      <c r="D240">
        <v>70</v>
      </c>
      <c r="E240" s="5">
        <v>0.56135000000000002</v>
      </c>
      <c r="F240" s="5">
        <v>40.233600000000003</v>
      </c>
      <c r="G240" s="5">
        <f t="shared" si="13"/>
        <v>10.215877288267514</v>
      </c>
      <c r="H240" s="5">
        <f t="shared" si="14"/>
        <v>6.497106481481481</v>
      </c>
      <c r="I240" s="5">
        <f t="shared" si="15"/>
        <v>5.4948780624517273</v>
      </c>
    </row>
    <row r="241" spans="1:9" x14ac:dyDescent="0.25">
      <c r="A241" s="8" t="s">
        <v>82</v>
      </c>
      <c r="B241" t="s">
        <v>195</v>
      </c>
      <c r="C241">
        <v>0.65</v>
      </c>
      <c r="D241">
        <v>80</v>
      </c>
      <c r="E241" s="5">
        <v>0.59950000000000003</v>
      </c>
      <c r="F241" s="5">
        <v>41.757600000000004</v>
      </c>
      <c r="G241" s="5">
        <f t="shared" si="13"/>
        <v>10.622834987360797</v>
      </c>
      <c r="H241" s="5">
        <f t="shared" si="14"/>
        <v>6.9386574074074074</v>
      </c>
      <c r="I241" s="5">
        <f t="shared" si="15"/>
        <v>5.6435028945972885</v>
      </c>
    </row>
    <row r="242" spans="1:9" x14ac:dyDescent="0.25">
      <c r="A242" s="8" t="s">
        <v>82</v>
      </c>
      <c r="B242" t="s">
        <v>196</v>
      </c>
      <c r="C242">
        <v>0.65</v>
      </c>
      <c r="D242">
        <v>90</v>
      </c>
      <c r="E242" s="5">
        <v>0.63765000000000005</v>
      </c>
      <c r="F242" s="5">
        <v>43.281600000000005</v>
      </c>
      <c r="G242" s="5">
        <f t="shared" si="13"/>
        <v>11.031252003993885</v>
      </c>
      <c r="H242" s="5">
        <f t="shared" si="14"/>
        <v>7.3802083333333339</v>
      </c>
      <c r="I242" s="5">
        <f t="shared" si="15"/>
        <v>5.7803955504700442</v>
      </c>
    </row>
    <row r="243" spans="1:9" x14ac:dyDescent="0.25">
      <c r="A243" s="8" t="s">
        <v>82</v>
      </c>
      <c r="B243" t="s">
        <v>197</v>
      </c>
      <c r="C243">
        <v>0.65</v>
      </c>
      <c r="D243">
        <v>100</v>
      </c>
      <c r="E243" s="5">
        <v>0.67035</v>
      </c>
      <c r="F243" s="5">
        <v>44.805600000000005</v>
      </c>
      <c r="G243" s="5">
        <f t="shared" si="13"/>
        <v>11.441128338166763</v>
      </c>
      <c r="H243" s="5">
        <f t="shared" si="14"/>
        <v>7.7586805555555554</v>
      </c>
      <c r="I243" s="5">
        <f t="shared" si="15"/>
        <v>5.8591249060965573</v>
      </c>
    </row>
    <row r="244" spans="1:9" x14ac:dyDescent="0.25">
      <c r="A244" s="8" t="s">
        <v>82</v>
      </c>
      <c r="B244" t="s">
        <v>198</v>
      </c>
      <c r="C244">
        <v>0.65</v>
      </c>
      <c r="D244">
        <v>110</v>
      </c>
      <c r="E244" s="5">
        <v>0.70304999999999995</v>
      </c>
      <c r="F244" s="5">
        <v>46.329599999999999</v>
      </c>
      <c r="G244" s="5">
        <f t="shared" si="13"/>
        <v>11.852463989879446</v>
      </c>
      <c r="H244" s="5">
        <f t="shared" si="14"/>
        <v>8.1371527777777768</v>
      </c>
      <c r="I244" s="5">
        <f t="shared" si="15"/>
        <v>5.9316780088960286</v>
      </c>
    </row>
    <row r="245" spans="1:9" x14ac:dyDescent="0.25">
      <c r="A245" s="8" t="s">
        <v>82</v>
      </c>
      <c r="B245" t="s">
        <v>199</v>
      </c>
      <c r="C245">
        <v>0.7</v>
      </c>
      <c r="D245">
        <v>40</v>
      </c>
      <c r="E245" s="5">
        <v>0.49595</v>
      </c>
      <c r="F245" s="5">
        <v>35.052</v>
      </c>
      <c r="G245" s="5">
        <f t="shared" si="13"/>
        <v>8.8431368065480598</v>
      </c>
      <c r="H245" s="5">
        <f t="shared" si="14"/>
        <v>5.7401620370370363</v>
      </c>
      <c r="I245" s="5">
        <f t="shared" si="15"/>
        <v>5.6083040537466848</v>
      </c>
    </row>
    <row r="246" spans="1:9" x14ac:dyDescent="0.25">
      <c r="A246" s="8" t="s">
        <v>82</v>
      </c>
      <c r="B246" t="s">
        <v>200</v>
      </c>
      <c r="C246">
        <v>0.7</v>
      </c>
      <c r="D246">
        <v>50</v>
      </c>
      <c r="E246" s="5">
        <v>0.54500000000000004</v>
      </c>
      <c r="F246" s="5">
        <v>37.490400000000001</v>
      </c>
      <c r="G246" s="5">
        <f t="shared" si="13"/>
        <v>9.4870309100998966</v>
      </c>
      <c r="H246" s="5">
        <f t="shared" si="14"/>
        <v>6.3078703703703702</v>
      </c>
      <c r="I246" s="5">
        <f t="shared" si="15"/>
        <v>5.7446845611074462</v>
      </c>
    </row>
    <row r="247" spans="1:9" x14ac:dyDescent="0.25">
      <c r="A247" s="8" t="s">
        <v>82</v>
      </c>
      <c r="B247" t="s">
        <v>201</v>
      </c>
      <c r="C247">
        <v>0.7</v>
      </c>
      <c r="D247">
        <v>60</v>
      </c>
      <c r="E247" s="5">
        <v>0.59950000000000003</v>
      </c>
      <c r="F247" s="5">
        <v>39.624000000000002</v>
      </c>
      <c r="G247" s="5">
        <f t="shared" si="13"/>
        <v>10.053502817541336</v>
      </c>
      <c r="H247" s="5">
        <f t="shared" si="14"/>
        <v>6.9386574074074074</v>
      </c>
      <c r="I247" s="5">
        <f t="shared" si="15"/>
        <v>5.9630957575701213</v>
      </c>
    </row>
    <row r="248" spans="1:9" x14ac:dyDescent="0.25">
      <c r="A248" s="8" t="s">
        <v>82</v>
      </c>
      <c r="B248" t="s">
        <v>202</v>
      </c>
      <c r="C248">
        <v>0.7</v>
      </c>
      <c r="D248">
        <v>70</v>
      </c>
      <c r="E248" s="5">
        <v>0.65400000000000003</v>
      </c>
      <c r="F248" s="5">
        <v>42.062400000000004</v>
      </c>
      <c r="G248" s="5">
        <f t="shared" si="13"/>
        <v>10.704401645284221</v>
      </c>
      <c r="H248" s="5">
        <f t="shared" si="14"/>
        <v>7.5694444444444446</v>
      </c>
      <c r="I248" s="5">
        <f t="shared" si="15"/>
        <v>6.1096362194902971</v>
      </c>
    </row>
    <row r="249" spans="1:9" x14ac:dyDescent="0.25">
      <c r="A249" s="8" t="s">
        <v>82</v>
      </c>
      <c r="B249" t="s">
        <v>203</v>
      </c>
      <c r="C249">
        <v>0.7</v>
      </c>
      <c r="D249">
        <v>80</v>
      </c>
      <c r="E249" s="5">
        <v>0.6976</v>
      </c>
      <c r="F249" s="5">
        <v>43.586400000000005</v>
      </c>
      <c r="G249" s="5">
        <f t="shared" si="13"/>
        <v>11.113110525425263</v>
      </c>
      <c r="H249" s="5">
        <f t="shared" si="14"/>
        <v>8.0740740740740744</v>
      </c>
      <c r="I249" s="5">
        <f t="shared" si="15"/>
        <v>6.2772704222097628</v>
      </c>
    </row>
    <row r="250" spans="1:9" x14ac:dyDescent="0.25">
      <c r="A250" s="8" t="s">
        <v>82</v>
      </c>
      <c r="B250" t="s">
        <v>204</v>
      </c>
      <c r="C250">
        <v>0.7</v>
      </c>
      <c r="D250">
        <v>90</v>
      </c>
      <c r="E250" s="5">
        <v>0.73575000000000002</v>
      </c>
      <c r="F250" s="5">
        <v>45.110400000000006</v>
      </c>
      <c r="G250" s="5">
        <f t="shared" si="13"/>
        <v>11.52327872310611</v>
      </c>
      <c r="H250" s="5">
        <f t="shared" si="14"/>
        <v>8.515625</v>
      </c>
      <c r="I250" s="5">
        <f t="shared" si="15"/>
        <v>6.3849015343584252</v>
      </c>
    </row>
    <row r="251" spans="1:9" x14ac:dyDescent="0.25">
      <c r="A251" s="8" t="s">
        <v>82</v>
      </c>
      <c r="B251" t="s">
        <v>205</v>
      </c>
      <c r="C251">
        <v>0.7</v>
      </c>
      <c r="D251">
        <v>100</v>
      </c>
      <c r="E251" s="5">
        <v>0.77934999999999999</v>
      </c>
      <c r="F251" s="5">
        <v>46.634399999999999</v>
      </c>
      <c r="G251" s="5">
        <f t="shared" si="13"/>
        <v>11.934906238326754</v>
      </c>
      <c r="H251" s="5">
        <f t="shared" si="14"/>
        <v>9.0202546296296298</v>
      </c>
      <c r="I251" s="5">
        <f t="shared" si="15"/>
        <v>6.5300052169430618</v>
      </c>
    </row>
    <row r="252" spans="1:9" x14ac:dyDescent="0.25">
      <c r="A252" s="8" t="s">
        <v>82</v>
      </c>
      <c r="B252" t="s">
        <v>206</v>
      </c>
      <c r="C252">
        <v>0.7</v>
      </c>
      <c r="D252">
        <v>110</v>
      </c>
      <c r="E252" s="5">
        <v>0.8175</v>
      </c>
      <c r="F252" s="5">
        <v>48.1584</v>
      </c>
      <c r="G252" s="5">
        <f t="shared" si="13"/>
        <v>12.347993071087203</v>
      </c>
      <c r="H252" s="5">
        <f t="shared" si="14"/>
        <v>9.4618055555555554</v>
      </c>
      <c r="I252" s="5">
        <f t="shared" si="15"/>
        <v>6.6205090600040455</v>
      </c>
    </row>
    <row r="253" spans="1:9" x14ac:dyDescent="0.25">
      <c r="A253" s="8" t="s">
        <v>82</v>
      </c>
      <c r="B253" t="s">
        <v>207</v>
      </c>
      <c r="C253">
        <v>0.75</v>
      </c>
      <c r="D253">
        <v>40</v>
      </c>
      <c r="E253" s="5">
        <v>0.56135000000000002</v>
      </c>
      <c r="F253" s="5">
        <v>36.576000000000001</v>
      </c>
      <c r="G253" s="5">
        <f t="shared" si="13"/>
        <v>9.2451328260060279</v>
      </c>
      <c r="H253" s="5">
        <f t="shared" si="14"/>
        <v>6.497106481481481</v>
      </c>
      <c r="I253" s="5">
        <f t="shared" si="15"/>
        <v>6.0718435371848276</v>
      </c>
    </row>
    <row r="254" spans="1:9" x14ac:dyDescent="0.25">
      <c r="A254" s="8" t="s">
        <v>82</v>
      </c>
      <c r="B254" t="s">
        <v>208</v>
      </c>
      <c r="C254">
        <v>0.75</v>
      </c>
      <c r="D254">
        <v>50</v>
      </c>
      <c r="E254" s="5">
        <v>0.62675000000000003</v>
      </c>
      <c r="F254" s="5">
        <v>39.014400000000002</v>
      </c>
      <c r="G254" s="5">
        <f t="shared" si="13"/>
        <v>9.8913618376215311</v>
      </c>
      <c r="H254" s="5">
        <f t="shared" si="14"/>
        <v>7.2540509259259256</v>
      </c>
      <c r="I254" s="5">
        <f t="shared" si="15"/>
        <v>6.3363367986011099</v>
      </c>
    </row>
    <row r="255" spans="1:9" x14ac:dyDescent="0.25">
      <c r="A255" s="8" t="s">
        <v>82</v>
      </c>
      <c r="B255" t="s">
        <v>209</v>
      </c>
      <c r="C255">
        <v>0.75</v>
      </c>
      <c r="D255">
        <v>60</v>
      </c>
      <c r="E255" s="5">
        <v>0.68669999999999998</v>
      </c>
      <c r="F255" s="5">
        <v>41.148000000000003</v>
      </c>
      <c r="G255" s="5">
        <f t="shared" si="13"/>
        <v>10.459876789618697</v>
      </c>
      <c r="H255" s="5">
        <f t="shared" si="14"/>
        <v>7.9479166666666661</v>
      </c>
      <c r="I255" s="5">
        <f t="shared" si="15"/>
        <v>6.5650868916691403</v>
      </c>
    </row>
    <row r="256" spans="1:9" x14ac:dyDescent="0.25">
      <c r="A256" s="8" t="s">
        <v>82</v>
      </c>
      <c r="B256" t="s">
        <v>210</v>
      </c>
      <c r="C256">
        <v>0.75</v>
      </c>
      <c r="D256">
        <v>70</v>
      </c>
      <c r="E256" s="5">
        <v>0.74119999999999997</v>
      </c>
      <c r="F256" s="5">
        <v>43.281600000000005</v>
      </c>
      <c r="G256" s="5">
        <f t="shared" si="13"/>
        <v>11.031252003993885</v>
      </c>
      <c r="H256" s="5">
        <f t="shared" si="14"/>
        <v>8.5787037037037024</v>
      </c>
      <c r="I256" s="5">
        <f t="shared" si="15"/>
        <v>6.7190922637942379</v>
      </c>
    </row>
    <row r="257" spans="1:9" x14ac:dyDescent="0.25">
      <c r="A257" s="8" t="s">
        <v>82</v>
      </c>
      <c r="B257" t="s">
        <v>211</v>
      </c>
      <c r="C257">
        <v>0.75</v>
      </c>
      <c r="D257">
        <v>80</v>
      </c>
      <c r="E257" s="5">
        <v>0.79569999999999996</v>
      </c>
      <c r="F257" s="5">
        <v>45.110400000000006</v>
      </c>
      <c r="G257" s="5">
        <f t="shared" si="13"/>
        <v>11.52327872310611</v>
      </c>
      <c r="H257" s="5">
        <f t="shared" si="14"/>
        <v>9.2094907407407405</v>
      </c>
      <c r="I257" s="5">
        <f t="shared" si="15"/>
        <v>6.905152770491334</v>
      </c>
    </row>
    <row r="258" spans="1:9" x14ac:dyDescent="0.25">
      <c r="A258" s="8" t="s">
        <v>82</v>
      </c>
      <c r="B258" t="s">
        <v>212</v>
      </c>
      <c r="C258">
        <v>0.75</v>
      </c>
      <c r="D258">
        <v>90</v>
      </c>
      <c r="E258" s="5">
        <v>0.84475</v>
      </c>
      <c r="F258" s="5">
        <v>46.634399999999999</v>
      </c>
      <c r="G258" s="5">
        <f t="shared" si="13"/>
        <v>11.934906238326754</v>
      </c>
      <c r="H258" s="5">
        <f t="shared" si="14"/>
        <v>9.7771990740740744</v>
      </c>
      <c r="I258" s="5">
        <f t="shared" si="15"/>
        <v>7.0779776827005216</v>
      </c>
    </row>
    <row r="259" spans="1:9" x14ac:dyDescent="0.25">
      <c r="A259" s="8" t="s">
        <v>82</v>
      </c>
      <c r="B259" t="s">
        <v>213</v>
      </c>
      <c r="C259">
        <v>0.75</v>
      </c>
      <c r="D259">
        <v>100</v>
      </c>
      <c r="E259" s="5">
        <v>0.88834999999999997</v>
      </c>
      <c r="F259" s="5">
        <v>48.1584</v>
      </c>
      <c r="G259" s="5">
        <f t="shared" ref="G259:G322" si="16">(PI()*(G$1+F259)^2)/10000-((PI()*(G$1)^2)/10000)</f>
        <v>12.347993071087203</v>
      </c>
      <c r="H259" s="5">
        <f t="shared" ref="H259:H322" si="17">E259/0.0864</f>
        <v>10.281828703703702</v>
      </c>
      <c r="I259" s="5">
        <f t="shared" ref="I259:I322" si="18">E259/G259*100</f>
        <v>7.1942865118710619</v>
      </c>
    </row>
    <row r="260" spans="1:9" x14ac:dyDescent="0.25">
      <c r="A260" s="8" t="s">
        <v>82</v>
      </c>
      <c r="B260" t="s">
        <v>214</v>
      </c>
      <c r="C260">
        <v>0.75</v>
      </c>
      <c r="D260">
        <v>110</v>
      </c>
      <c r="E260" s="5">
        <v>0.93194999999999995</v>
      </c>
      <c r="F260" s="5">
        <v>49.377600000000001</v>
      </c>
      <c r="G260" s="5">
        <f t="shared" si="16"/>
        <v>12.67951324592422</v>
      </c>
      <c r="H260" s="5">
        <f t="shared" si="17"/>
        <v>10.786458333333332</v>
      </c>
      <c r="I260" s="5">
        <f t="shared" si="18"/>
        <v>7.3500455571476424</v>
      </c>
    </row>
    <row r="261" spans="1:9" x14ac:dyDescent="0.25">
      <c r="A261" s="8" t="s">
        <v>82</v>
      </c>
      <c r="B261" t="s">
        <v>215</v>
      </c>
      <c r="C261">
        <v>0.8</v>
      </c>
      <c r="D261">
        <v>40</v>
      </c>
      <c r="E261" s="5">
        <v>0.6431</v>
      </c>
      <c r="F261" s="5">
        <v>38.1</v>
      </c>
      <c r="G261" s="5">
        <f t="shared" si="16"/>
        <v>9.6485881630037866</v>
      </c>
      <c r="H261" s="5">
        <f t="shared" si="17"/>
        <v>7.4432870370370363</v>
      </c>
      <c r="I261" s="5">
        <f t="shared" si="18"/>
        <v>6.665223855919983</v>
      </c>
    </row>
    <row r="262" spans="1:9" x14ac:dyDescent="0.25">
      <c r="A262" s="8" t="s">
        <v>82</v>
      </c>
      <c r="B262" t="s">
        <v>216</v>
      </c>
      <c r="C262">
        <v>0.8</v>
      </c>
      <c r="D262">
        <v>50</v>
      </c>
      <c r="E262" s="5">
        <v>0.70850000000000002</v>
      </c>
      <c r="F262" s="5">
        <v>40.538400000000003</v>
      </c>
      <c r="G262" s="5">
        <f t="shared" si="16"/>
        <v>10.297152082682977</v>
      </c>
      <c r="H262" s="5">
        <f t="shared" si="17"/>
        <v>8.200231481481481</v>
      </c>
      <c r="I262" s="5">
        <f t="shared" si="18"/>
        <v>6.8805432250680765</v>
      </c>
    </row>
    <row r="263" spans="1:9" x14ac:dyDescent="0.25">
      <c r="A263" s="8" t="s">
        <v>82</v>
      </c>
      <c r="B263" t="s">
        <v>217</v>
      </c>
      <c r="C263">
        <v>0.8</v>
      </c>
      <c r="D263">
        <v>60</v>
      </c>
      <c r="E263" s="5">
        <v>0.77934999999999999</v>
      </c>
      <c r="F263" s="5">
        <v>42.672000000000004</v>
      </c>
      <c r="G263" s="5">
        <f t="shared" si="16"/>
        <v>10.867710079235856</v>
      </c>
      <c r="H263" s="5">
        <f t="shared" si="17"/>
        <v>9.0202546296296298</v>
      </c>
      <c r="I263" s="5">
        <f t="shared" si="18"/>
        <v>7.171243935638727</v>
      </c>
    </row>
    <row r="264" spans="1:9" x14ac:dyDescent="0.25">
      <c r="A264" s="8" t="s">
        <v>82</v>
      </c>
      <c r="B264" t="s">
        <v>218</v>
      </c>
      <c r="C264">
        <v>0.8</v>
      </c>
      <c r="D264">
        <v>70</v>
      </c>
      <c r="E264" s="5">
        <v>0.84475</v>
      </c>
      <c r="F264" s="5">
        <v>45.110400000000006</v>
      </c>
      <c r="G264" s="5">
        <f t="shared" si="16"/>
        <v>11.52327872310611</v>
      </c>
      <c r="H264" s="5">
        <f t="shared" si="17"/>
        <v>9.7771990740740744</v>
      </c>
      <c r="I264" s="5">
        <f t="shared" si="18"/>
        <v>7.3308128727818955</v>
      </c>
    </row>
    <row r="265" spans="1:9" x14ac:dyDescent="0.25">
      <c r="A265" s="8" t="s">
        <v>82</v>
      </c>
      <c r="B265" t="s">
        <v>219</v>
      </c>
      <c r="C265">
        <v>0.8</v>
      </c>
      <c r="D265">
        <v>80</v>
      </c>
      <c r="E265" s="5">
        <v>0.89924999999999999</v>
      </c>
      <c r="F265" s="5">
        <v>46.634399999999999</v>
      </c>
      <c r="G265" s="5">
        <f t="shared" si="16"/>
        <v>11.934906238326754</v>
      </c>
      <c r="H265" s="5">
        <f t="shared" si="17"/>
        <v>10.407986111111111</v>
      </c>
      <c r="I265" s="5">
        <f t="shared" si="18"/>
        <v>7.5346214041650716</v>
      </c>
    </row>
    <row r="266" spans="1:9" x14ac:dyDescent="0.25">
      <c r="A266" s="8" t="s">
        <v>82</v>
      </c>
      <c r="B266" t="s">
        <v>220</v>
      </c>
      <c r="C266">
        <v>0.8</v>
      </c>
      <c r="D266">
        <v>90</v>
      </c>
      <c r="E266" s="5">
        <v>0.95374999999999999</v>
      </c>
      <c r="F266" s="5">
        <v>48.1584</v>
      </c>
      <c r="G266" s="5">
        <f t="shared" si="16"/>
        <v>12.347993071087203</v>
      </c>
      <c r="H266" s="5">
        <f t="shared" si="17"/>
        <v>11.038773148148147</v>
      </c>
      <c r="I266" s="5">
        <f t="shared" si="18"/>
        <v>7.7239272366713863</v>
      </c>
    </row>
    <row r="267" spans="1:9" x14ac:dyDescent="0.25">
      <c r="A267" s="8" t="s">
        <v>82</v>
      </c>
      <c r="B267" t="s">
        <v>221</v>
      </c>
      <c r="C267">
        <v>0.8</v>
      </c>
      <c r="D267">
        <v>100</v>
      </c>
      <c r="E267" s="5">
        <v>1.0082500000000001</v>
      </c>
      <c r="F267" s="5">
        <v>49.682400000000001</v>
      </c>
      <c r="G267" s="5">
        <f t="shared" si="16"/>
        <v>12.762539221387449</v>
      </c>
      <c r="H267" s="5">
        <f t="shared" si="17"/>
        <v>11.669560185185185</v>
      </c>
      <c r="I267" s="5">
        <f t="shared" si="18"/>
        <v>7.9000736648893177</v>
      </c>
    </row>
    <row r="268" spans="1:9" x14ac:dyDescent="0.25">
      <c r="A268" s="8" t="s">
        <v>82</v>
      </c>
      <c r="B268" t="s">
        <v>222</v>
      </c>
      <c r="C268">
        <v>0.8</v>
      </c>
      <c r="D268">
        <v>110</v>
      </c>
      <c r="E268" s="5">
        <v>1.0627500000000001</v>
      </c>
      <c r="F268" s="5">
        <v>51.206400000000002</v>
      </c>
      <c r="G268" s="5">
        <f t="shared" si="16"/>
        <v>13.1785446892275</v>
      </c>
      <c r="H268" s="5">
        <f t="shared" si="17"/>
        <v>12.300347222222223</v>
      </c>
      <c r="I268" s="5">
        <f t="shared" si="18"/>
        <v>8.064244004641278</v>
      </c>
    </row>
    <row r="269" spans="1:9" x14ac:dyDescent="0.25">
      <c r="A269" s="8" t="s">
        <v>82</v>
      </c>
      <c r="B269" t="s">
        <v>223</v>
      </c>
      <c r="C269">
        <v>0.85</v>
      </c>
      <c r="D269">
        <v>40</v>
      </c>
      <c r="E269" s="5">
        <v>0.73029999999999995</v>
      </c>
      <c r="F269" s="5">
        <v>39.014400000000002</v>
      </c>
      <c r="G269" s="5">
        <f t="shared" si="16"/>
        <v>9.8913618376215311</v>
      </c>
      <c r="H269" s="5">
        <f t="shared" si="17"/>
        <v>8.4525462962962958</v>
      </c>
      <c r="I269" s="5">
        <f t="shared" si="18"/>
        <v>7.3832098348917272</v>
      </c>
    </row>
    <row r="270" spans="1:9" x14ac:dyDescent="0.25">
      <c r="A270" s="8" t="s">
        <v>82</v>
      </c>
      <c r="B270" t="s">
        <v>224</v>
      </c>
      <c r="C270">
        <v>0.85</v>
      </c>
      <c r="D270">
        <v>50</v>
      </c>
      <c r="E270" s="5">
        <v>0.8175</v>
      </c>
      <c r="F270" s="5">
        <v>41.757600000000004</v>
      </c>
      <c r="G270" s="5">
        <f t="shared" si="16"/>
        <v>10.622834987360797</v>
      </c>
      <c r="H270" s="5">
        <f t="shared" si="17"/>
        <v>9.4618055555555554</v>
      </c>
      <c r="I270" s="5">
        <f t="shared" si="18"/>
        <v>7.6956857653599382</v>
      </c>
    </row>
    <row r="271" spans="1:9" x14ac:dyDescent="0.25">
      <c r="A271" s="8" t="s">
        <v>82</v>
      </c>
      <c r="B271" t="s">
        <v>225</v>
      </c>
      <c r="C271">
        <v>0.85</v>
      </c>
      <c r="D271">
        <v>60</v>
      </c>
      <c r="E271" s="5">
        <v>0.89380000000000004</v>
      </c>
      <c r="F271" s="5">
        <v>43.891200000000005</v>
      </c>
      <c r="G271" s="5">
        <f t="shared" si="16"/>
        <v>11.195027419558258</v>
      </c>
      <c r="H271" s="5">
        <f t="shared" si="17"/>
        <v>10.344907407407407</v>
      </c>
      <c r="I271" s="5">
        <f t="shared" si="18"/>
        <v>7.9839018387618044</v>
      </c>
    </row>
    <row r="272" spans="1:9" x14ac:dyDescent="0.25">
      <c r="A272" s="8" t="s">
        <v>82</v>
      </c>
      <c r="B272" t="s">
        <v>226</v>
      </c>
      <c r="C272">
        <v>0.85</v>
      </c>
      <c r="D272">
        <v>70</v>
      </c>
      <c r="E272" s="5">
        <v>0.96465000000000001</v>
      </c>
      <c r="F272" s="5">
        <v>46.024799999999999</v>
      </c>
      <c r="G272" s="5">
        <f t="shared" si="16"/>
        <v>11.770080114133719</v>
      </c>
      <c r="H272" s="5">
        <f t="shared" si="17"/>
        <v>11.164930555555555</v>
      </c>
      <c r="I272" s="5">
        <f t="shared" si="18"/>
        <v>8.1957810876888715</v>
      </c>
    </row>
    <row r="273" spans="1:9" x14ac:dyDescent="0.25">
      <c r="A273" s="8" t="s">
        <v>82</v>
      </c>
      <c r="B273" t="s">
        <v>227</v>
      </c>
      <c r="C273">
        <v>0.85</v>
      </c>
      <c r="D273">
        <v>80</v>
      </c>
      <c r="E273" s="5">
        <v>1.0300499999999999</v>
      </c>
      <c r="F273" s="5">
        <v>47.8536</v>
      </c>
      <c r="G273" s="5">
        <f t="shared" si="16"/>
        <v>12.265258959131927</v>
      </c>
      <c r="H273" s="5">
        <f t="shared" si="17"/>
        <v>11.921874999999998</v>
      </c>
      <c r="I273" s="5">
        <f t="shared" si="18"/>
        <v>8.3981104959311974</v>
      </c>
    </row>
    <row r="274" spans="1:9" x14ac:dyDescent="0.25">
      <c r="A274" s="8" t="s">
        <v>82</v>
      </c>
      <c r="B274" t="s">
        <v>228</v>
      </c>
      <c r="C274">
        <v>0.85</v>
      </c>
      <c r="D274">
        <v>90</v>
      </c>
      <c r="E274" s="5">
        <v>1.09545</v>
      </c>
      <c r="F274" s="5">
        <v>49.682400000000001</v>
      </c>
      <c r="G274" s="5">
        <f t="shared" si="16"/>
        <v>12.762539221387449</v>
      </c>
      <c r="H274" s="5">
        <f t="shared" si="17"/>
        <v>12.678819444444445</v>
      </c>
      <c r="I274" s="5">
        <f t="shared" si="18"/>
        <v>8.5833232791500151</v>
      </c>
    </row>
    <row r="275" spans="1:9" x14ac:dyDescent="0.25">
      <c r="A275" s="8" t="s">
        <v>82</v>
      </c>
      <c r="B275" t="s">
        <v>229</v>
      </c>
      <c r="C275">
        <v>0.85</v>
      </c>
      <c r="D275">
        <v>100</v>
      </c>
      <c r="E275" s="5">
        <v>1.1554</v>
      </c>
      <c r="F275" s="5">
        <v>51.206400000000002</v>
      </c>
      <c r="G275" s="5">
        <f t="shared" si="16"/>
        <v>13.1785446892275</v>
      </c>
      <c r="H275" s="5">
        <f t="shared" si="17"/>
        <v>13.372685185185185</v>
      </c>
      <c r="I275" s="5">
        <f t="shared" si="18"/>
        <v>8.7672806614561551</v>
      </c>
    </row>
    <row r="276" spans="1:9" x14ac:dyDescent="0.25">
      <c r="A276" s="8" t="s">
        <v>82</v>
      </c>
      <c r="B276" t="s">
        <v>230</v>
      </c>
      <c r="C276">
        <v>0.85</v>
      </c>
      <c r="D276">
        <v>110</v>
      </c>
      <c r="E276" s="5">
        <v>1.2099</v>
      </c>
      <c r="F276" s="5">
        <v>52.425600000000003</v>
      </c>
      <c r="G276" s="5">
        <f t="shared" si="16"/>
        <v>13.512399772128191</v>
      </c>
      <c r="H276" s="5">
        <f t="shared" si="17"/>
        <v>14.003472222222221</v>
      </c>
      <c r="I276" s="5">
        <f t="shared" si="18"/>
        <v>8.9539979604188531</v>
      </c>
    </row>
    <row r="277" spans="1:9" x14ac:dyDescent="0.25">
      <c r="A277" s="8" t="s">
        <v>82</v>
      </c>
      <c r="B277" t="s">
        <v>231</v>
      </c>
      <c r="C277">
        <v>0.9</v>
      </c>
      <c r="D277">
        <v>40</v>
      </c>
      <c r="E277" s="5">
        <v>0.83384999999999998</v>
      </c>
      <c r="F277" s="5">
        <v>39.928800000000003</v>
      </c>
      <c r="G277" s="5">
        <f t="shared" si="16"/>
        <v>10.134660866553624</v>
      </c>
      <c r="H277" s="5">
        <f t="shared" si="17"/>
        <v>9.6510416666666661</v>
      </c>
      <c r="I277" s="5">
        <f t="shared" si="18"/>
        <v>8.2277050113425023</v>
      </c>
    </row>
    <row r="278" spans="1:9" x14ac:dyDescent="0.25">
      <c r="A278" s="8" t="s">
        <v>82</v>
      </c>
      <c r="B278" t="s">
        <v>232</v>
      </c>
      <c r="C278">
        <v>0.9</v>
      </c>
      <c r="D278">
        <v>50</v>
      </c>
      <c r="E278" s="5">
        <v>0.89924999999999999</v>
      </c>
      <c r="F278" s="5">
        <v>42.672000000000004</v>
      </c>
      <c r="G278" s="5">
        <f t="shared" si="16"/>
        <v>10.867710079235856</v>
      </c>
      <c r="H278" s="5">
        <f t="shared" si="17"/>
        <v>10.407986111111111</v>
      </c>
      <c r="I278" s="5">
        <f t="shared" si="18"/>
        <v>8.2745122334293004</v>
      </c>
    </row>
    <row r="279" spans="1:9" x14ac:dyDescent="0.25">
      <c r="A279" s="8" t="s">
        <v>82</v>
      </c>
      <c r="B279" t="s">
        <v>233</v>
      </c>
      <c r="C279">
        <v>0.9</v>
      </c>
      <c r="D279">
        <v>60</v>
      </c>
      <c r="E279" s="5">
        <v>0.9919</v>
      </c>
      <c r="F279" s="5">
        <v>45.110400000000006</v>
      </c>
      <c r="G279" s="5">
        <f t="shared" si="16"/>
        <v>11.52327872310611</v>
      </c>
      <c r="H279" s="5">
        <f t="shared" si="17"/>
        <v>11.480324074074073</v>
      </c>
      <c r="I279" s="5">
        <f t="shared" si="18"/>
        <v>8.6077931796535818</v>
      </c>
    </row>
    <row r="280" spans="1:9" x14ac:dyDescent="0.25">
      <c r="A280" s="8" t="s">
        <v>82</v>
      </c>
      <c r="B280" t="s">
        <v>234</v>
      </c>
      <c r="C280">
        <v>0.9</v>
      </c>
      <c r="D280">
        <v>70</v>
      </c>
      <c r="E280" s="5">
        <v>1.07365</v>
      </c>
      <c r="F280" s="5">
        <v>47.244</v>
      </c>
      <c r="G280" s="5">
        <f t="shared" si="16"/>
        <v>12.099965853326161</v>
      </c>
      <c r="H280" s="5">
        <f t="shared" si="17"/>
        <v>12.42650462962963</v>
      </c>
      <c r="I280" s="5">
        <f t="shared" si="18"/>
        <v>8.8731655362883863</v>
      </c>
    </row>
    <row r="281" spans="1:9" x14ac:dyDescent="0.25">
      <c r="A281" s="8" t="s">
        <v>82</v>
      </c>
      <c r="B281" t="s">
        <v>235</v>
      </c>
      <c r="C281">
        <v>0.9</v>
      </c>
      <c r="D281">
        <v>80</v>
      </c>
      <c r="E281" s="5">
        <v>1.1445000000000001</v>
      </c>
      <c r="F281" s="5">
        <v>49.682400000000001</v>
      </c>
      <c r="G281" s="5">
        <f t="shared" si="16"/>
        <v>12.762539221387449</v>
      </c>
      <c r="H281" s="5">
        <f t="shared" si="17"/>
        <v>13.246527777777779</v>
      </c>
      <c r="I281" s="5">
        <f t="shared" si="18"/>
        <v>8.9676511871716578</v>
      </c>
    </row>
    <row r="282" spans="1:9" x14ac:dyDescent="0.25">
      <c r="A282" s="8" t="s">
        <v>82</v>
      </c>
      <c r="B282" t="s">
        <v>236</v>
      </c>
      <c r="C282">
        <v>0.9</v>
      </c>
      <c r="D282">
        <v>90</v>
      </c>
      <c r="E282" s="5">
        <v>1.2153499999999999</v>
      </c>
      <c r="F282" s="5">
        <v>51.206400000000002</v>
      </c>
      <c r="G282" s="5">
        <f t="shared" si="16"/>
        <v>13.1785446892275</v>
      </c>
      <c r="H282" s="5">
        <f t="shared" si="17"/>
        <v>14.066550925925924</v>
      </c>
      <c r="I282" s="5">
        <f t="shared" si="18"/>
        <v>9.222186733512844</v>
      </c>
    </row>
    <row r="283" spans="1:9" x14ac:dyDescent="0.25">
      <c r="A283" s="8" t="s">
        <v>82</v>
      </c>
      <c r="B283" t="s">
        <v>237</v>
      </c>
      <c r="C283">
        <v>0.9</v>
      </c>
      <c r="D283">
        <v>100</v>
      </c>
      <c r="E283" s="5">
        <v>1.2807500000000001</v>
      </c>
      <c r="F283" s="5">
        <v>52.730400000000003</v>
      </c>
      <c r="G283" s="5">
        <f t="shared" si="16"/>
        <v>13.596009474607342</v>
      </c>
      <c r="H283" s="5">
        <f t="shared" si="17"/>
        <v>14.82349537037037</v>
      </c>
      <c r="I283" s="5">
        <f t="shared" si="18"/>
        <v>9.4200434501902901</v>
      </c>
    </row>
    <row r="284" spans="1:9" x14ac:dyDescent="0.25">
      <c r="A284" s="8" t="s">
        <v>82</v>
      </c>
      <c r="B284" t="s">
        <v>238</v>
      </c>
      <c r="C284">
        <v>0.9</v>
      </c>
      <c r="D284">
        <v>110</v>
      </c>
      <c r="E284" s="5">
        <v>1.34615</v>
      </c>
      <c r="F284" s="5">
        <v>54.254400000000004</v>
      </c>
      <c r="G284" s="5">
        <f t="shared" si="16"/>
        <v>14.014933577526996</v>
      </c>
      <c r="H284" s="5">
        <f t="shared" si="17"/>
        <v>15.580439814814813</v>
      </c>
      <c r="I284" s="5">
        <f t="shared" si="18"/>
        <v>9.6051115230296702</v>
      </c>
    </row>
    <row r="285" spans="1:9" x14ac:dyDescent="0.25">
      <c r="A285" s="8" t="s">
        <v>82</v>
      </c>
      <c r="B285" t="s">
        <v>239</v>
      </c>
      <c r="C285">
        <v>1</v>
      </c>
      <c r="D285">
        <v>50</v>
      </c>
      <c r="E285" s="5">
        <v>1.1117999999999999</v>
      </c>
      <c r="F285" s="5">
        <v>45.72</v>
      </c>
      <c r="G285" s="5">
        <f t="shared" si="16"/>
        <v>11.687754611089588</v>
      </c>
      <c r="H285" s="5">
        <f t="shared" si="17"/>
        <v>12.868055555555554</v>
      </c>
      <c r="I285" s="5">
        <f t="shared" si="18"/>
        <v>9.5125200433717243</v>
      </c>
    </row>
    <row r="286" spans="1:9" x14ac:dyDescent="0.25">
      <c r="A286" s="8" t="s">
        <v>82</v>
      </c>
      <c r="B286" t="s">
        <v>240</v>
      </c>
      <c r="C286">
        <v>1</v>
      </c>
      <c r="D286">
        <v>60</v>
      </c>
      <c r="E286" s="5">
        <v>1.2208000000000001</v>
      </c>
      <c r="F286" s="5">
        <v>48.1584</v>
      </c>
      <c r="G286" s="5">
        <f t="shared" si="16"/>
        <v>12.347993071087203</v>
      </c>
      <c r="H286" s="5">
        <f t="shared" si="17"/>
        <v>14.12962962962963</v>
      </c>
      <c r="I286" s="5">
        <f t="shared" si="18"/>
        <v>9.8866268629393748</v>
      </c>
    </row>
    <row r="287" spans="1:9" x14ac:dyDescent="0.25">
      <c r="A287" s="8" t="s">
        <v>82</v>
      </c>
      <c r="B287" t="s">
        <v>241</v>
      </c>
      <c r="C287">
        <v>1</v>
      </c>
      <c r="D287">
        <v>70</v>
      </c>
      <c r="E287" s="5">
        <v>1.3243499999999999</v>
      </c>
      <c r="F287" s="5">
        <v>51.511200000000002</v>
      </c>
      <c r="G287" s="5">
        <f t="shared" si="16"/>
        <v>13.261920900900286</v>
      </c>
      <c r="H287" s="5">
        <f t="shared" si="17"/>
        <v>15.328124999999998</v>
      </c>
      <c r="I287" s="5">
        <f t="shared" si="18"/>
        <v>9.9861099300486433</v>
      </c>
    </row>
    <row r="288" spans="1:9" x14ac:dyDescent="0.25">
      <c r="A288" s="8" t="s">
        <v>82</v>
      </c>
      <c r="B288" t="s">
        <v>242</v>
      </c>
      <c r="C288">
        <v>1</v>
      </c>
      <c r="D288">
        <v>80</v>
      </c>
      <c r="E288" s="5">
        <v>1.4060999999999999</v>
      </c>
      <c r="F288" s="5">
        <v>53.949600000000004</v>
      </c>
      <c r="G288" s="5">
        <f t="shared" si="16"/>
        <v>13.93103201153987</v>
      </c>
      <c r="H288" s="5">
        <f t="shared" si="17"/>
        <v>16.274305555555554</v>
      </c>
      <c r="I288" s="5">
        <f t="shared" si="18"/>
        <v>10.093293869651918</v>
      </c>
    </row>
    <row r="289" spans="1:9" x14ac:dyDescent="0.25">
      <c r="A289" s="8" t="s">
        <v>82</v>
      </c>
      <c r="B289" t="s">
        <v>243</v>
      </c>
      <c r="C289">
        <v>1</v>
      </c>
      <c r="D289">
        <v>90</v>
      </c>
      <c r="E289" s="5">
        <v>1.4933000000000001</v>
      </c>
      <c r="F289" s="5">
        <v>55.168800000000005</v>
      </c>
      <c r="G289" s="5">
        <f t="shared" si="16"/>
        <v>14.266988511697889</v>
      </c>
      <c r="H289" s="5">
        <f t="shared" si="17"/>
        <v>17.283564814814813</v>
      </c>
      <c r="I289" s="5">
        <f t="shared" si="18"/>
        <v>10.466819951355557</v>
      </c>
    </row>
    <row r="290" spans="1:9" x14ac:dyDescent="0.25">
      <c r="A290" s="8" t="s">
        <v>82</v>
      </c>
      <c r="B290" t="s">
        <v>244</v>
      </c>
      <c r="C290">
        <v>1</v>
      </c>
      <c r="D290">
        <v>100</v>
      </c>
      <c r="E290" s="5">
        <v>1.5750500000000001</v>
      </c>
      <c r="F290" s="5">
        <v>56.692800000000005</v>
      </c>
      <c r="G290" s="5">
        <f t="shared" si="16"/>
        <v>14.688247522681216</v>
      </c>
      <c r="H290" s="5">
        <f t="shared" si="17"/>
        <v>18.22974537037037</v>
      </c>
      <c r="I290" s="5">
        <f t="shared" si="18"/>
        <v>10.723198921912559</v>
      </c>
    </row>
    <row r="291" spans="1:9" x14ac:dyDescent="0.25">
      <c r="A291" s="8" t="s">
        <v>82</v>
      </c>
      <c r="B291" t="s">
        <v>245</v>
      </c>
      <c r="C291">
        <v>1</v>
      </c>
      <c r="D291">
        <v>110</v>
      </c>
      <c r="E291" s="5">
        <v>1.6568000000000001</v>
      </c>
      <c r="F291" s="5">
        <v>57.912000000000006</v>
      </c>
      <c r="G291" s="5">
        <f t="shared" si="16"/>
        <v>15.026305440096543</v>
      </c>
      <c r="H291" s="5">
        <f t="shared" si="17"/>
        <v>19.175925925925924</v>
      </c>
      <c r="I291" s="5">
        <f t="shared" si="18"/>
        <v>11.025997086276154</v>
      </c>
    </row>
    <row r="292" spans="1:9" x14ac:dyDescent="0.25">
      <c r="A292" s="8" t="s">
        <v>305</v>
      </c>
      <c r="B292" t="str">
        <f t="shared" ref="B292:B323" si="19">A292&amp;C292&amp;D292</f>
        <v>SR1500.750</v>
      </c>
      <c r="C292">
        <v>0.7</v>
      </c>
      <c r="D292">
        <v>50</v>
      </c>
      <c r="E292" s="5">
        <v>0.54509929691281367</v>
      </c>
      <c r="F292" s="5">
        <v>38.1</v>
      </c>
      <c r="G292" s="5">
        <f t="shared" si="16"/>
        <v>9.6485881630037866</v>
      </c>
      <c r="H292" s="5">
        <f t="shared" si="17"/>
        <v>6.3090196401946024</v>
      </c>
      <c r="I292" s="5">
        <f t="shared" si="18"/>
        <v>5.649523927271801</v>
      </c>
    </row>
    <row r="293" spans="1:9" x14ac:dyDescent="0.25">
      <c r="A293" s="8" t="s">
        <v>305</v>
      </c>
      <c r="B293" t="str">
        <f t="shared" si="19"/>
        <v>SR1500.760</v>
      </c>
      <c r="C293">
        <v>0.7</v>
      </c>
      <c r="D293">
        <v>60</v>
      </c>
      <c r="E293" s="5">
        <v>0.59960922660409499</v>
      </c>
      <c r="F293" s="5">
        <v>40.386000000000003</v>
      </c>
      <c r="G293" s="5">
        <f t="shared" si="16"/>
        <v>10.256507388887542</v>
      </c>
      <c r="H293" s="5">
        <f t="shared" si="17"/>
        <v>6.9399216042140619</v>
      </c>
      <c r="I293" s="5">
        <f t="shared" si="18"/>
        <v>5.8461345940601994</v>
      </c>
    </row>
    <row r="294" spans="1:9" x14ac:dyDescent="0.25">
      <c r="A294" s="8" t="s">
        <v>305</v>
      </c>
      <c r="B294" t="str">
        <f t="shared" si="19"/>
        <v>SR1500.770</v>
      </c>
      <c r="C294">
        <v>0.7</v>
      </c>
      <c r="D294">
        <v>70</v>
      </c>
      <c r="E294" s="5">
        <v>0.65411915629537642</v>
      </c>
      <c r="F294" s="5">
        <v>42.672000000000004</v>
      </c>
      <c r="G294" s="5">
        <f t="shared" si="16"/>
        <v>10.867710079235856</v>
      </c>
      <c r="H294" s="5">
        <f t="shared" si="17"/>
        <v>7.5708235682335232</v>
      </c>
      <c r="I294" s="5">
        <f t="shared" si="18"/>
        <v>6.0189235039049711</v>
      </c>
    </row>
    <row r="295" spans="1:9" x14ac:dyDescent="0.25">
      <c r="A295" s="8" t="s">
        <v>305</v>
      </c>
      <c r="B295" t="str">
        <f t="shared" si="19"/>
        <v>SR1500.780</v>
      </c>
      <c r="C295">
        <v>0.7</v>
      </c>
      <c r="D295">
        <v>80</v>
      </c>
      <c r="E295" s="5">
        <v>0.69772710004840144</v>
      </c>
      <c r="F295" s="5">
        <v>44.196000000000005</v>
      </c>
      <c r="G295" s="5">
        <f t="shared" si="16"/>
        <v>11.277002686392827</v>
      </c>
      <c r="H295" s="5">
        <f t="shared" si="17"/>
        <v>8.0755451394490905</v>
      </c>
      <c r="I295" s="5">
        <f t="shared" si="18"/>
        <v>6.187167986492546</v>
      </c>
    </row>
    <row r="296" spans="1:9" x14ac:dyDescent="0.25">
      <c r="A296" s="8" t="s">
        <v>305</v>
      </c>
      <c r="B296" t="str">
        <f t="shared" si="19"/>
        <v>SR1500.790</v>
      </c>
      <c r="C296">
        <v>0.7</v>
      </c>
      <c r="D296">
        <v>90</v>
      </c>
      <c r="E296" s="5">
        <v>0.73588405083229835</v>
      </c>
      <c r="F296" s="5">
        <v>45.72</v>
      </c>
      <c r="G296" s="5">
        <f t="shared" si="16"/>
        <v>11.687754611089588</v>
      </c>
      <c r="H296" s="5">
        <f t="shared" si="17"/>
        <v>8.5171765142627116</v>
      </c>
      <c r="I296" s="5">
        <f t="shared" si="18"/>
        <v>6.2961969627089536</v>
      </c>
    </row>
    <row r="297" spans="1:9" x14ac:dyDescent="0.25">
      <c r="A297" s="8" t="s">
        <v>305</v>
      </c>
      <c r="B297" t="str">
        <f t="shared" si="19"/>
        <v>SR1500.7100</v>
      </c>
      <c r="C297">
        <v>0.7</v>
      </c>
      <c r="D297">
        <v>100</v>
      </c>
      <c r="E297" s="5">
        <v>0.77949199458532348</v>
      </c>
      <c r="F297" s="5">
        <v>47.244</v>
      </c>
      <c r="G297" s="5">
        <f t="shared" si="16"/>
        <v>12.099965853326161</v>
      </c>
      <c r="H297" s="5">
        <f t="shared" si="17"/>
        <v>9.0218980854782806</v>
      </c>
      <c r="I297" s="5">
        <f t="shared" si="18"/>
        <v>6.4421007797393806</v>
      </c>
    </row>
    <row r="298" spans="1:9" x14ac:dyDescent="0.25">
      <c r="A298" s="8" t="s">
        <v>305</v>
      </c>
      <c r="B298" t="str">
        <f t="shared" si="19"/>
        <v>SR1500.7110</v>
      </c>
      <c r="C298">
        <v>0.7</v>
      </c>
      <c r="D298">
        <v>110</v>
      </c>
      <c r="E298" s="5">
        <v>0.8176489453692205</v>
      </c>
      <c r="F298" s="5">
        <v>48.768000000000001</v>
      </c>
      <c r="G298" s="5">
        <f t="shared" si="16"/>
        <v>12.513636413102525</v>
      </c>
      <c r="H298" s="5">
        <f t="shared" si="17"/>
        <v>9.4635294602919036</v>
      </c>
      <c r="I298" s="5">
        <f t="shared" si="18"/>
        <v>6.5340634678588971</v>
      </c>
    </row>
    <row r="299" spans="1:9" x14ac:dyDescent="0.25">
      <c r="A299" s="8" t="s">
        <v>305</v>
      </c>
      <c r="B299" t="str">
        <f t="shared" si="19"/>
        <v>SR1500.7120</v>
      </c>
      <c r="C299">
        <v>0.7</v>
      </c>
      <c r="D299">
        <v>120</v>
      </c>
      <c r="E299" s="5">
        <v>0.85580589615311742</v>
      </c>
      <c r="F299" s="5">
        <v>50.292000000000002</v>
      </c>
      <c r="G299" s="5">
        <f t="shared" si="16"/>
        <v>12.928766290418693</v>
      </c>
      <c r="H299" s="5">
        <f t="shared" si="17"/>
        <v>9.9051608351055247</v>
      </c>
      <c r="I299" s="5">
        <f t="shared" si="18"/>
        <v>6.619393350681432</v>
      </c>
    </row>
    <row r="300" spans="1:9" x14ac:dyDescent="0.25">
      <c r="A300" s="8" t="s">
        <v>305</v>
      </c>
      <c r="B300" t="str">
        <f t="shared" si="19"/>
        <v>SR1500.850</v>
      </c>
      <c r="C300">
        <v>0.8</v>
      </c>
      <c r="D300">
        <v>50</v>
      </c>
      <c r="E300" s="5">
        <v>0.70862908598665764</v>
      </c>
      <c r="F300" s="5">
        <v>41.148000000000003</v>
      </c>
      <c r="G300" s="5">
        <f t="shared" si="16"/>
        <v>10.459876789618697</v>
      </c>
      <c r="H300" s="5">
        <f t="shared" si="17"/>
        <v>8.201725532252981</v>
      </c>
      <c r="I300" s="5">
        <f t="shared" si="18"/>
        <v>6.77473645473495</v>
      </c>
    </row>
    <row r="301" spans="1:9" x14ac:dyDescent="0.25">
      <c r="A301" s="8" t="s">
        <v>305</v>
      </c>
      <c r="B301" t="str">
        <f t="shared" si="19"/>
        <v>SR1500.860</v>
      </c>
      <c r="C301">
        <v>0.8</v>
      </c>
      <c r="D301">
        <v>60</v>
      </c>
      <c r="E301" s="5">
        <v>0.77949199458532348</v>
      </c>
      <c r="F301" s="5">
        <v>43.434000000000005</v>
      </c>
      <c r="G301" s="5">
        <f t="shared" si="16"/>
        <v>11.072173968121874</v>
      </c>
      <c r="H301" s="5">
        <f t="shared" si="17"/>
        <v>9.0218980854782806</v>
      </c>
      <c r="I301" s="5">
        <f t="shared" si="18"/>
        <v>7.0400988715456885</v>
      </c>
    </row>
    <row r="302" spans="1:9" x14ac:dyDescent="0.25">
      <c r="A302" s="8" t="s">
        <v>305</v>
      </c>
      <c r="B302" t="str">
        <f t="shared" si="19"/>
        <v>SR1500.870</v>
      </c>
      <c r="C302">
        <v>0.8</v>
      </c>
      <c r="D302">
        <v>70</v>
      </c>
      <c r="E302" s="5">
        <v>0.84490391021486111</v>
      </c>
      <c r="F302" s="5">
        <v>45.72</v>
      </c>
      <c r="G302" s="5">
        <f t="shared" si="16"/>
        <v>11.687754611089588</v>
      </c>
      <c r="H302" s="5">
        <f t="shared" si="17"/>
        <v>9.7789804423016324</v>
      </c>
      <c r="I302" s="5">
        <f t="shared" si="18"/>
        <v>7.2289668831102816</v>
      </c>
    </row>
    <row r="303" spans="1:9" x14ac:dyDescent="0.25">
      <c r="A303" s="8" t="s">
        <v>305</v>
      </c>
      <c r="B303" t="str">
        <f t="shared" si="19"/>
        <v>SR1500.880</v>
      </c>
      <c r="C303">
        <v>0.8</v>
      </c>
      <c r="D303">
        <v>80</v>
      </c>
      <c r="E303" s="5">
        <v>0.89941383990614254</v>
      </c>
      <c r="F303" s="5">
        <v>47.244</v>
      </c>
      <c r="G303" s="5">
        <f t="shared" si="16"/>
        <v>12.099965853326161</v>
      </c>
      <c r="H303" s="5">
        <f t="shared" si="17"/>
        <v>10.409882406321094</v>
      </c>
      <c r="I303" s="5">
        <f t="shared" si="18"/>
        <v>7.4331932073915947</v>
      </c>
    </row>
    <row r="304" spans="1:9" x14ac:dyDescent="0.25">
      <c r="A304" s="8" t="s">
        <v>305</v>
      </c>
      <c r="B304" t="str">
        <f t="shared" si="19"/>
        <v>SR1500.890</v>
      </c>
      <c r="C304">
        <v>0.8</v>
      </c>
      <c r="D304">
        <v>90</v>
      </c>
      <c r="E304" s="5">
        <v>0.95392376959742375</v>
      </c>
      <c r="F304" s="5">
        <v>48.768000000000001</v>
      </c>
      <c r="G304" s="5">
        <f t="shared" si="16"/>
        <v>12.513636413102525</v>
      </c>
      <c r="H304" s="5">
        <f t="shared" si="17"/>
        <v>11.040784370340551</v>
      </c>
      <c r="I304" s="5">
        <f t="shared" si="18"/>
        <v>7.623074045835379</v>
      </c>
    </row>
    <row r="305" spans="1:9" x14ac:dyDescent="0.25">
      <c r="A305" s="8" t="s">
        <v>305</v>
      </c>
      <c r="B305" t="str">
        <f t="shared" si="19"/>
        <v>SR1500.8100</v>
      </c>
      <c r="C305">
        <v>0.8</v>
      </c>
      <c r="D305">
        <v>100</v>
      </c>
      <c r="E305" s="5">
        <v>1.0084336992887053</v>
      </c>
      <c r="F305" s="5">
        <v>50.292000000000002</v>
      </c>
      <c r="G305" s="5">
        <f t="shared" si="16"/>
        <v>12.928766290418693</v>
      </c>
      <c r="H305" s="5">
        <f t="shared" si="17"/>
        <v>11.671686334360015</v>
      </c>
      <c r="I305" s="5">
        <f t="shared" si="18"/>
        <v>7.7999221011214326</v>
      </c>
    </row>
    <row r="306" spans="1:9" x14ac:dyDescent="0.25">
      <c r="A306" s="8" t="s">
        <v>305</v>
      </c>
      <c r="B306" t="str">
        <f t="shared" si="19"/>
        <v>SR1500.8110</v>
      </c>
      <c r="C306">
        <v>0.8</v>
      </c>
      <c r="D306">
        <v>110</v>
      </c>
      <c r="E306" s="5">
        <v>1.0629436289799865</v>
      </c>
      <c r="F306" s="5">
        <v>51.816000000000003</v>
      </c>
      <c r="G306" s="5">
        <f t="shared" si="16"/>
        <v>13.345355485274659</v>
      </c>
      <c r="H306" s="5">
        <f t="shared" si="17"/>
        <v>12.302588298379472</v>
      </c>
      <c r="I306" s="5">
        <f t="shared" si="18"/>
        <v>7.9648955784867965</v>
      </c>
    </row>
    <row r="307" spans="1:9" x14ac:dyDescent="0.25">
      <c r="A307" s="8" t="s">
        <v>305</v>
      </c>
      <c r="B307" t="str">
        <f t="shared" si="19"/>
        <v>SR1500.8120</v>
      </c>
      <c r="C307">
        <v>0.8</v>
      </c>
      <c r="D307">
        <v>120</v>
      </c>
      <c r="E307" s="5">
        <v>1.1120025657021397</v>
      </c>
      <c r="F307" s="5">
        <v>53.34</v>
      </c>
      <c r="G307" s="5">
        <f t="shared" si="16"/>
        <v>13.763403997670423</v>
      </c>
      <c r="H307" s="5">
        <f t="shared" si="17"/>
        <v>12.870400065996987</v>
      </c>
      <c r="I307" s="5">
        <f t="shared" si="18"/>
        <v>8.0794152804811663</v>
      </c>
    </row>
    <row r="308" spans="1:9" x14ac:dyDescent="0.25">
      <c r="A308" s="8" t="s">
        <v>305</v>
      </c>
      <c r="B308" t="str">
        <f t="shared" si="19"/>
        <v>SR1500.950</v>
      </c>
      <c r="C308">
        <v>0.9</v>
      </c>
      <c r="D308">
        <v>50</v>
      </c>
      <c r="E308" s="5">
        <v>0.89941383990614254</v>
      </c>
      <c r="F308" s="5">
        <v>44.196000000000005</v>
      </c>
      <c r="G308" s="5">
        <f t="shared" si="16"/>
        <v>11.277002686392827</v>
      </c>
      <c r="H308" s="5">
        <f t="shared" si="17"/>
        <v>10.409882406321094</v>
      </c>
      <c r="I308" s="5">
        <f t="shared" si="18"/>
        <v>7.9756462325880486</v>
      </c>
    </row>
    <row r="309" spans="1:9" x14ac:dyDescent="0.25">
      <c r="A309" s="8" t="s">
        <v>305</v>
      </c>
      <c r="B309" t="str">
        <f t="shared" si="19"/>
        <v>SR1500.960</v>
      </c>
      <c r="C309">
        <v>0.9</v>
      </c>
      <c r="D309">
        <v>60</v>
      </c>
      <c r="E309" s="5">
        <v>0.99208072038132078</v>
      </c>
      <c r="F309" s="5">
        <v>46.481999999999999</v>
      </c>
      <c r="G309" s="5">
        <f t="shared" si="16"/>
        <v>11.893677817515382</v>
      </c>
      <c r="H309" s="5">
        <f t="shared" si="17"/>
        <v>11.482415745154174</v>
      </c>
      <c r="I309" s="5">
        <f t="shared" si="18"/>
        <v>8.341244277866009</v>
      </c>
    </row>
    <row r="310" spans="1:9" x14ac:dyDescent="0.25">
      <c r="A310" s="8" t="s">
        <v>305</v>
      </c>
      <c r="B310" t="str">
        <f t="shared" si="19"/>
        <v>SR1500.970</v>
      </c>
      <c r="C310">
        <v>0.9</v>
      </c>
      <c r="D310">
        <v>70</v>
      </c>
      <c r="E310" s="5">
        <v>1.0738456149182429</v>
      </c>
      <c r="F310" s="5">
        <v>48.768000000000001</v>
      </c>
      <c r="G310" s="5">
        <f t="shared" si="16"/>
        <v>12.513636413102525</v>
      </c>
      <c r="H310" s="5">
        <f t="shared" si="17"/>
        <v>12.428768691183366</v>
      </c>
      <c r="I310" s="5">
        <f t="shared" si="18"/>
        <v>8.5814033544546842</v>
      </c>
    </row>
    <row r="311" spans="1:9" x14ac:dyDescent="0.25">
      <c r="A311" s="8" t="s">
        <v>305</v>
      </c>
      <c r="B311" t="str">
        <f t="shared" si="19"/>
        <v>SR1500.980</v>
      </c>
      <c r="C311">
        <v>0.9</v>
      </c>
      <c r="D311">
        <v>80</v>
      </c>
      <c r="E311" s="5">
        <v>1.1447085235169085</v>
      </c>
      <c r="F311" s="5">
        <v>51.054000000000002</v>
      </c>
      <c r="G311" s="5">
        <f t="shared" si="16"/>
        <v>13.136878473154184</v>
      </c>
      <c r="H311" s="5">
        <f t="shared" si="17"/>
        <v>13.248941244408662</v>
      </c>
      <c r="I311" s="5">
        <f t="shared" si="18"/>
        <v>8.7137026185952244</v>
      </c>
    </row>
    <row r="312" spans="1:9" x14ac:dyDescent="0.25">
      <c r="A312" s="8" t="s">
        <v>305</v>
      </c>
      <c r="B312" t="str">
        <f t="shared" si="19"/>
        <v>SR1500.990</v>
      </c>
      <c r="C312">
        <v>0.9</v>
      </c>
      <c r="D312">
        <v>90</v>
      </c>
      <c r="E312" s="5">
        <v>1.2155714321155744</v>
      </c>
      <c r="F312" s="5">
        <v>52.578000000000003</v>
      </c>
      <c r="G312" s="5">
        <f t="shared" si="16"/>
        <v>13.554197326780049</v>
      </c>
      <c r="H312" s="5">
        <f t="shared" si="17"/>
        <v>14.069113797633962</v>
      </c>
      <c r="I312" s="5">
        <f t="shared" si="18"/>
        <v>8.9682288283783382</v>
      </c>
    </row>
    <row r="313" spans="1:9" x14ac:dyDescent="0.25">
      <c r="A313" s="8" t="s">
        <v>305</v>
      </c>
      <c r="B313" t="str">
        <f t="shared" si="19"/>
        <v>SR1500.9100</v>
      </c>
      <c r="C313">
        <v>0.9</v>
      </c>
      <c r="D313">
        <v>100</v>
      </c>
      <c r="E313" s="5">
        <v>1.280983347745112</v>
      </c>
      <c r="F313" s="5">
        <v>54.102000000000004</v>
      </c>
      <c r="G313" s="5">
        <f t="shared" si="16"/>
        <v>13.972975497945718</v>
      </c>
      <c r="H313" s="5">
        <f t="shared" si="17"/>
        <v>14.826196154457314</v>
      </c>
      <c r="I313" s="5">
        <f t="shared" si="18"/>
        <v>9.1675774278244457</v>
      </c>
    </row>
    <row r="314" spans="1:9" x14ac:dyDescent="0.25">
      <c r="A314" s="8" t="s">
        <v>305</v>
      </c>
      <c r="B314" t="str">
        <f t="shared" si="19"/>
        <v>SR1500.9110</v>
      </c>
      <c r="C314">
        <v>0.9</v>
      </c>
      <c r="D314">
        <v>110</v>
      </c>
      <c r="E314" s="5">
        <v>1.3463952633746497</v>
      </c>
      <c r="F314" s="5">
        <v>55.626000000000005</v>
      </c>
      <c r="G314" s="5">
        <f t="shared" si="16"/>
        <v>14.393212986651186</v>
      </c>
      <c r="H314" s="5">
        <f t="shared" si="17"/>
        <v>15.583278511280666</v>
      </c>
      <c r="I314" s="5">
        <f t="shared" si="18"/>
        <v>9.3543760147463111</v>
      </c>
    </row>
    <row r="315" spans="1:9" x14ac:dyDescent="0.25">
      <c r="A315" s="8" t="s">
        <v>305</v>
      </c>
      <c r="B315" t="str">
        <f t="shared" si="19"/>
        <v>SR1500.9120</v>
      </c>
      <c r="C315">
        <v>0.9</v>
      </c>
      <c r="D315">
        <v>120</v>
      </c>
      <c r="E315" s="5">
        <v>1.4063561860350591</v>
      </c>
      <c r="F315" s="5">
        <v>57.150000000000006</v>
      </c>
      <c r="G315" s="5">
        <f t="shared" si="16"/>
        <v>14.814909792896458</v>
      </c>
      <c r="H315" s="5">
        <f t="shared" si="17"/>
        <v>16.277270671702073</v>
      </c>
      <c r="I315" s="5">
        <f t="shared" si="18"/>
        <v>9.4928433969229253</v>
      </c>
    </row>
    <row r="316" spans="1:9" x14ac:dyDescent="0.25">
      <c r="A316" s="8" t="s">
        <v>305</v>
      </c>
      <c r="B316" t="str">
        <f t="shared" si="19"/>
        <v>SR150150</v>
      </c>
      <c r="C316">
        <v>1</v>
      </c>
      <c r="D316">
        <v>50</v>
      </c>
      <c r="E316" s="5">
        <v>1.1174535586712679</v>
      </c>
      <c r="F316" s="5">
        <v>47.244</v>
      </c>
      <c r="G316" s="5">
        <f t="shared" si="16"/>
        <v>12.099965853326161</v>
      </c>
      <c r="H316" s="5">
        <f t="shared" si="17"/>
        <v>12.933490262398934</v>
      </c>
      <c r="I316" s="5">
        <f t="shared" si="18"/>
        <v>9.2351794394865259</v>
      </c>
    </row>
    <row r="317" spans="1:9" x14ac:dyDescent="0.25">
      <c r="A317" s="8" t="s">
        <v>305</v>
      </c>
      <c r="B317" t="str">
        <f t="shared" si="19"/>
        <v>SR150160</v>
      </c>
      <c r="C317">
        <v>1</v>
      </c>
      <c r="D317">
        <v>60</v>
      </c>
      <c r="E317" s="5">
        <v>1.2264734180538308</v>
      </c>
      <c r="F317" s="5">
        <v>49.53</v>
      </c>
      <c r="G317" s="5">
        <f t="shared" si="16"/>
        <v>12.721018937068116</v>
      </c>
      <c r="H317" s="5">
        <f t="shared" si="17"/>
        <v>14.195294190437856</v>
      </c>
      <c r="I317" s="5">
        <f t="shared" si="18"/>
        <v>9.6413143013251652</v>
      </c>
    </row>
    <row r="318" spans="1:9" x14ac:dyDescent="0.25">
      <c r="A318" s="8" t="s">
        <v>305</v>
      </c>
      <c r="B318" t="str">
        <f t="shared" si="19"/>
        <v>SR150170</v>
      </c>
      <c r="C318">
        <v>1</v>
      </c>
      <c r="D318">
        <v>70</v>
      </c>
      <c r="E318" s="5">
        <v>1.3354932774363935</v>
      </c>
      <c r="F318" s="5">
        <v>51.816000000000003</v>
      </c>
      <c r="G318" s="5">
        <f t="shared" si="16"/>
        <v>13.345355485274659</v>
      </c>
      <c r="H318" s="5">
        <f t="shared" si="17"/>
        <v>15.457098118476775</v>
      </c>
      <c r="I318" s="5">
        <f t="shared" si="18"/>
        <v>10.007176496047515</v>
      </c>
    </row>
    <row r="319" spans="1:9" x14ac:dyDescent="0.25">
      <c r="A319" s="8" t="s">
        <v>305</v>
      </c>
      <c r="B319" t="str">
        <f t="shared" si="19"/>
        <v>SR150180</v>
      </c>
      <c r="C319">
        <v>1</v>
      </c>
      <c r="D319">
        <v>80</v>
      </c>
      <c r="E319" s="5">
        <v>1.4172581719733153</v>
      </c>
      <c r="F319" s="5">
        <v>54.102000000000004</v>
      </c>
      <c r="G319" s="5">
        <f t="shared" si="16"/>
        <v>13.972975497945718</v>
      </c>
      <c r="H319" s="5">
        <f t="shared" si="17"/>
        <v>16.403451064505962</v>
      </c>
      <c r="I319" s="5">
        <f t="shared" si="18"/>
        <v>10.142851622273854</v>
      </c>
    </row>
    <row r="320" spans="1:9" x14ac:dyDescent="0.25">
      <c r="A320" s="8" t="s">
        <v>305</v>
      </c>
      <c r="B320" t="str">
        <f t="shared" si="19"/>
        <v>SR150190</v>
      </c>
      <c r="C320">
        <v>1</v>
      </c>
      <c r="D320">
        <v>90</v>
      </c>
      <c r="E320" s="5">
        <v>1.4990230665102375</v>
      </c>
      <c r="F320" s="5">
        <v>55.626000000000005</v>
      </c>
      <c r="G320" s="5">
        <f t="shared" si="16"/>
        <v>14.393212986651186</v>
      </c>
      <c r="H320" s="5">
        <f t="shared" si="17"/>
        <v>17.349804010535156</v>
      </c>
      <c r="I320" s="5">
        <f t="shared" si="18"/>
        <v>10.414791109535367</v>
      </c>
    </row>
    <row r="321" spans="1:9" x14ac:dyDescent="0.25">
      <c r="A321" s="8" t="s">
        <v>305</v>
      </c>
      <c r="B321" t="str">
        <f t="shared" si="19"/>
        <v>SR1501100</v>
      </c>
      <c r="C321">
        <v>1</v>
      </c>
      <c r="D321">
        <v>100</v>
      </c>
      <c r="E321" s="5">
        <v>1.5807879610471596</v>
      </c>
      <c r="F321" s="5">
        <v>57.150000000000006</v>
      </c>
      <c r="G321" s="5">
        <f t="shared" si="16"/>
        <v>14.814909792896458</v>
      </c>
      <c r="H321" s="5">
        <f t="shared" si="17"/>
        <v>18.296156956564346</v>
      </c>
      <c r="I321" s="5">
        <f t="shared" si="18"/>
        <v>10.670250329874605</v>
      </c>
    </row>
    <row r="322" spans="1:9" x14ac:dyDescent="0.25">
      <c r="A322" s="8" t="s">
        <v>305</v>
      </c>
      <c r="B322" t="str">
        <f t="shared" si="19"/>
        <v>SR1501110</v>
      </c>
      <c r="C322">
        <v>1</v>
      </c>
      <c r="D322">
        <v>110</v>
      </c>
      <c r="E322" s="5">
        <v>1.6625528555840816</v>
      </c>
      <c r="F322" s="5">
        <v>58.673999999999999</v>
      </c>
      <c r="G322" s="5">
        <f t="shared" si="16"/>
        <v>15.238065916681528</v>
      </c>
      <c r="H322" s="5">
        <f t="shared" si="17"/>
        <v>19.242509902593536</v>
      </c>
      <c r="I322" s="5">
        <f t="shared" si="18"/>
        <v>10.910524108994958</v>
      </c>
    </row>
    <row r="323" spans="1:9" x14ac:dyDescent="0.25">
      <c r="A323" s="8" t="s">
        <v>305</v>
      </c>
      <c r="B323" t="str">
        <f t="shared" si="19"/>
        <v>SR1501120</v>
      </c>
      <c r="C323">
        <v>1</v>
      </c>
      <c r="D323">
        <v>120</v>
      </c>
      <c r="E323" s="5">
        <v>1.7443177501210037</v>
      </c>
      <c r="F323" s="5">
        <v>60.198</v>
      </c>
      <c r="G323" s="5">
        <f t="shared" ref="G323:G386" si="20">(PI()*(G$1+F323)^2)/10000-((PI()*(G$1)^2)/10000)</f>
        <v>15.662681358006409</v>
      </c>
      <c r="H323" s="5">
        <f t="shared" ref="H323:H386" si="21">E323/0.0864</f>
        <v>20.188862848622726</v>
      </c>
      <c r="I323" s="5">
        <f t="shared" ref="I323:I386" si="22">E323/G323*100</f>
        <v>11.136776074610927</v>
      </c>
    </row>
    <row r="324" spans="1:9" x14ac:dyDescent="0.25">
      <c r="A324" s="8" t="s">
        <v>305</v>
      </c>
      <c r="B324" t="str">
        <f t="shared" ref="B324:B355" si="23">A324&amp;C324&amp;D324</f>
        <v>SR1501.150</v>
      </c>
      <c r="C324">
        <v>1.1000000000000001</v>
      </c>
      <c r="D324">
        <v>50</v>
      </c>
      <c r="E324" s="5">
        <v>1.3900032071276747</v>
      </c>
      <c r="F324" s="5">
        <v>50.292000000000002</v>
      </c>
      <c r="G324" s="5">
        <f t="shared" si="20"/>
        <v>12.928766290418693</v>
      </c>
      <c r="H324" s="5">
        <f t="shared" si="21"/>
        <v>16.088000082496233</v>
      </c>
      <c r="I324" s="5">
        <f t="shared" si="22"/>
        <v>10.751243977221433</v>
      </c>
    </row>
    <row r="325" spans="1:9" x14ac:dyDescent="0.25">
      <c r="A325" s="8" t="s">
        <v>305</v>
      </c>
      <c r="B325" t="str">
        <f t="shared" si="23"/>
        <v>SR1501.160</v>
      </c>
      <c r="C325">
        <v>1.1000000000000001</v>
      </c>
      <c r="D325">
        <v>60</v>
      </c>
      <c r="E325" s="5">
        <v>1.4990230665102375</v>
      </c>
      <c r="F325" s="5">
        <v>52.578000000000003</v>
      </c>
      <c r="G325" s="5">
        <f t="shared" si="20"/>
        <v>13.554197326780049</v>
      </c>
      <c r="H325" s="5">
        <f t="shared" si="21"/>
        <v>17.349804010535156</v>
      </c>
      <c r="I325" s="5">
        <f t="shared" si="22"/>
        <v>11.059475012574184</v>
      </c>
    </row>
    <row r="326" spans="1:9" x14ac:dyDescent="0.25">
      <c r="A326" s="8" t="s">
        <v>305</v>
      </c>
      <c r="B326" t="str">
        <f t="shared" si="23"/>
        <v>SR1501.170</v>
      </c>
      <c r="C326">
        <v>1.1000000000000001</v>
      </c>
      <c r="D326">
        <v>70</v>
      </c>
      <c r="E326" s="5">
        <v>1.6080429258928002</v>
      </c>
      <c r="F326" s="5">
        <v>54.864000000000004</v>
      </c>
      <c r="G326" s="5">
        <f t="shared" si="20"/>
        <v>14.182911827605992</v>
      </c>
      <c r="H326" s="5">
        <f t="shared" si="21"/>
        <v>18.611607938574075</v>
      </c>
      <c r="I326" s="5">
        <f t="shared" si="22"/>
        <v>11.337889887765241</v>
      </c>
    </row>
    <row r="327" spans="1:9" x14ac:dyDescent="0.25">
      <c r="A327" s="8" t="s">
        <v>305</v>
      </c>
      <c r="B327" t="str">
        <f t="shared" si="23"/>
        <v>SR1501.180</v>
      </c>
      <c r="C327">
        <v>1.1000000000000001</v>
      </c>
      <c r="D327">
        <v>80</v>
      </c>
      <c r="E327" s="5">
        <v>1.717062785275363</v>
      </c>
      <c r="F327" s="5">
        <v>57.150000000000006</v>
      </c>
      <c r="G327" s="5">
        <f t="shared" si="20"/>
        <v>14.814909792896458</v>
      </c>
      <c r="H327" s="5">
        <f t="shared" si="21"/>
        <v>19.873411866612997</v>
      </c>
      <c r="I327" s="5">
        <f t="shared" si="22"/>
        <v>11.590099496243107</v>
      </c>
    </row>
    <row r="328" spans="1:9" x14ac:dyDescent="0.25">
      <c r="A328" s="8" t="s">
        <v>305</v>
      </c>
      <c r="B328" t="str">
        <f t="shared" si="23"/>
        <v>SR1501.190</v>
      </c>
      <c r="C328">
        <v>1.1000000000000001</v>
      </c>
      <c r="D328">
        <v>90</v>
      </c>
      <c r="E328" s="5">
        <v>1.8260826446579257</v>
      </c>
      <c r="F328" s="5">
        <v>59.436</v>
      </c>
      <c r="G328" s="5">
        <f t="shared" si="20"/>
        <v>15.450191222651497</v>
      </c>
      <c r="H328" s="5">
        <f t="shared" si="21"/>
        <v>21.135215794651916</v>
      </c>
      <c r="I328" s="5">
        <f t="shared" si="22"/>
        <v>11.819158859216637</v>
      </c>
    </row>
    <row r="329" spans="1:9" x14ac:dyDescent="0.25">
      <c r="A329" s="8" t="s">
        <v>305</v>
      </c>
      <c r="B329" t="str">
        <f t="shared" si="23"/>
        <v>SR1501.1100</v>
      </c>
      <c r="C329">
        <v>1.1000000000000001</v>
      </c>
      <c r="D329">
        <v>100</v>
      </c>
      <c r="E329" s="5">
        <v>1.9351025040404883</v>
      </c>
      <c r="F329" s="5">
        <v>60.96</v>
      </c>
      <c r="G329" s="5">
        <f t="shared" si="20"/>
        <v>15.875536322746271</v>
      </c>
      <c r="H329" s="5">
        <f t="shared" si="21"/>
        <v>22.397019722690835</v>
      </c>
      <c r="I329" s="5">
        <f t="shared" si="22"/>
        <v>12.189210271075362</v>
      </c>
    </row>
    <row r="330" spans="1:9" x14ac:dyDescent="0.25">
      <c r="A330" s="8" t="s">
        <v>305</v>
      </c>
      <c r="B330" t="str">
        <f t="shared" si="23"/>
        <v>SR1501.1110</v>
      </c>
      <c r="C330">
        <v>1.1000000000000001</v>
      </c>
      <c r="D330">
        <v>110</v>
      </c>
      <c r="E330" s="5">
        <v>2.0168673985774106</v>
      </c>
      <c r="F330" s="5">
        <v>62.484000000000002</v>
      </c>
      <c r="G330" s="5">
        <f t="shared" si="20"/>
        <v>16.302340740380842</v>
      </c>
      <c r="H330" s="5">
        <f t="shared" si="21"/>
        <v>23.343372668720029</v>
      </c>
      <c r="I330" s="5">
        <f t="shared" si="22"/>
        <v>12.371643009409299</v>
      </c>
    </row>
    <row r="331" spans="1:9" x14ac:dyDescent="0.25">
      <c r="A331" s="8" t="s">
        <v>305</v>
      </c>
      <c r="B331" t="str">
        <f t="shared" si="23"/>
        <v>SR1501.1120</v>
      </c>
      <c r="C331">
        <v>1.1000000000000001</v>
      </c>
      <c r="D331">
        <v>120</v>
      </c>
      <c r="E331" s="5">
        <v>2.0986322931143326</v>
      </c>
      <c r="F331" s="5">
        <v>64.00800000000001</v>
      </c>
      <c r="G331" s="5">
        <f t="shared" si="20"/>
        <v>16.730604475555225</v>
      </c>
      <c r="H331" s="5">
        <f t="shared" si="21"/>
        <v>24.289725614749219</v>
      </c>
      <c r="I331" s="5">
        <f t="shared" si="22"/>
        <v>12.543672861196409</v>
      </c>
    </row>
    <row r="332" spans="1:9" x14ac:dyDescent="0.25">
      <c r="A332" s="8" t="s">
        <v>305</v>
      </c>
      <c r="B332" t="str">
        <f t="shared" si="23"/>
        <v>SR1501.250</v>
      </c>
      <c r="C332">
        <v>1.2</v>
      </c>
      <c r="D332">
        <v>50</v>
      </c>
      <c r="E332" s="5">
        <v>1.635297890738441</v>
      </c>
      <c r="F332" s="5">
        <v>52.578000000000003</v>
      </c>
      <c r="G332" s="5">
        <f t="shared" si="20"/>
        <v>13.554197326780049</v>
      </c>
      <c r="H332" s="5">
        <f t="shared" si="21"/>
        <v>18.927058920583807</v>
      </c>
      <c r="I332" s="5">
        <f t="shared" si="22"/>
        <v>12.064881831899111</v>
      </c>
    </row>
    <row r="333" spans="1:9" x14ac:dyDescent="0.25">
      <c r="A333" s="8" t="s">
        <v>305</v>
      </c>
      <c r="B333" t="str">
        <f t="shared" si="23"/>
        <v>SR1501.260</v>
      </c>
      <c r="C333">
        <v>1.2</v>
      </c>
      <c r="D333">
        <v>60</v>
      </c>
      <c r="E333" s="5">
        <v>1.7988276798122851</v>
      </c>
      <c r="F333" s="5">
        <v>55.626000000000005</v>
      </c>
      <c r="G333" s="5">
        <f t="shared" si="20"/>
        <v>14.393212986651186</v>
      </c>
      <c r="H333" s="5">
        <f t="shared" si="21"/>
        <v>20.819764812642187</v>
      </c>
      <c r="I333" s="5">
        <f t="shared" si="22"/>
        <v>12.49774933144244</v>
      </c>
    </row>
    <row r="334" spans="1:9" x14ac:dyDescent="0.25">
      <c r="A334" s="8" t="s">
        <v>305</v>
      </c>
      <c r="B334" t="str">
        <f t="shared" si="23"/>
        <v>SR1501.270</v>
      </c>
      <c r="C334">
        <v>1.2</v>
      </c>
      <c r="D334">
        <v>70</v>
      </c>
      <c r="E334" s="5">
        <v>1.9351025040404883</v>
      </c>
      <c r="F334" s="5">
        <v>57.912000000000006</v>
      </c>
      <c r="G334" s="5">
        <f t="shared" si="20"/>
        <v>15.026305440096543</v>
      </c>
      <c r="H334" s="5">
        <f t="shared" si="21"/>
        <v>22.397019722690835</v>
      </c>
      <c r="I334" s="5">
        <f t="shared" si="22"/>
        <v>12.878099089326481</v>
      </c>
    </row>
    <row r="335" spans="1:9" x14ac:dyDescent="0.25">
      <c r="A335" s="8" t="s">
        <v>305</v>
      </c>
      <c r="B335" t="str">
        <f t="shared" si="23"/>
        <v>SR1501.280</v>
      </c>
      <c r="C335">
        <v>1.2</v>
      </c>
      <c r="D335">
        <v>80</v>
      </c>
      <c r="E335" s="5">
        <v>2.0713773282686918</v>
      </c>
      <c r="F335" s="5">
        <v>60.198</v>
      </c>
      <c r="G335" s="5">
        <f t="shared" si="20"/>
        <v>15.662681358006409</v>
      </c>
      <c r="H335" s="5">
        <f t="shared" si="21"/>
        <v>23.974274632739487</v>
      </c>
      <c r="I335" s="5">
        <f t="shared" si="22"/>
        <v>13.224921588600475</v>
      </c>
    </row>
    <row r="336" spans="1:9" x14ac:dyDescent="0.25">
      <c r="A336" s="8" t="s">
        <v>305</v>
      </c>
      <c r="B336" t="str">
        <f t="shared" si="23"/>
        <v>SR1501.290</v>
      </c>
      <c r="C336">
        <v>1.2</v>
      </c>
      <c r="D336">
        <v>90</v>
      </c>
      <c r="E336" s="5">
        <v>2.2076521524968951</v>
      </c>
      <c r="F336" s="5">
        <v>62.484000000000002</v>
      </c>
      <c r="G336" s="5">
        <f t="shared" si="20"/>
        <v>16.302340740380842</v>
      </c>
      <c r="H336" s="5">
        <f t="shared" si="21"/>
        <v>25.551529542788135</v>
      </c>
      <c r="I336" s="5">
        <f t="shared" si="22"/>
        <v>13.541933564353419</v>
      </c>
    </row>
    <row r="337" spans="1:9" x14ac:dyDescent="0.25">
      <c r="A337" s="8" t="s">
        <v>305</v>
      </c>
      <c r="B337" t="str">
        <f t="shared" si="23"/>
        <v>SR1501.2100</v>
      </c>
      <c r="C337">
        <v>1.2</v>
      </c>
      <c r="D337">
        <v>100</v>
      </c>
      <c r="E337" s="5">
        <v>2.3166720118794579</v>
      </c>
      <c r="F337" s="5">
        <v>64.00800000000001</v>
      </c>
      <c r="G337" s="5">
        <f t="shared" si="20"/>
        <v>16.730604475555225</v>
      </c>
      <c r="H337" s="5">
        <f t="shared" si="21"/>
        <v>26.813333470827057</v>
      </c>
      <c r="I337" s="5">
        <f t="shared" si="22"/>
        <v>13.846911600022011</v>
      </c>
    </row>
    <row r="338" spans="1:9" x14ac:dyDescent="0.25">
      <c r="A338" s="8" t="s">
        <v>305</v>
      </c>
      <c r="B338" t="str">
        <f t="shared" si="23"/>
        <v>SR1501.2110</v>
      </c>
      <c r="C338">
        <v>1.2</v>
      </c>
      <c r="D338">
        <v>110</v>
      </c>
      <c r="E338" s="5">
        <v>2.4256918712620208</v>
      </c>
      <c r="F338" s="5">
        <v>65.531999999999996</v>
      </c>
      <c r="G338" s="5">
        <f t="shared" si="20"/>
        <v>17.160327528269384</v>
      </c>
      <c r="H338" s="5">
        <f t="shared" si="21"/>
        <v>28.07513739886598</v>
      </c>
      <c r="I338" s="5">
        <f t="shared" si="22"/>
        <v>14.135463715747921</v>
      </c>
    </row>
    <row r="339" spans="1:9" x14ac:dyDescent="0.25">
      <c r="A339" t="s">
        <v>305</v>
      </c>
      <c r="B339" t="str">
        <f t="shared" si="23"/>
        <v>SR1501.2120</v>
      </c>
      <c r="C339">
        <v>1.2</v>
      </c>
      <c r="D339">
        <v>120</v>
      </c>
      <c r="E339" s="5">
        <v>2.5347117306445837</v>
      </c>
      <c r="F339" s="5">
        <v>67.055999999999997</v>
      </c>
      <c r="G339" s="5">
        <f t="shared" si="20"/>
        <v>17.591509898523363</v>
      </c>
      <c r="H339" s="5">
        <f t="shared" si="21"/>
        <v>29.336941326904903</v>
      </c>
      <c r="I339" s="5">
        <f t="shared" si="22"/>
        <v>14.408721850859136</v>
      </c>
    </row>
    <row r="340" spans="1:9" x14ac:dyDescent="0.25">
      <c r="A340" t="s">
        <v>305</v>
      </c>
      <c r="B340" t="str">
        <f t="shared" si="23"/>
        <v>SR1501.350</v>
      </c>
      <c r="C340">
        <v>1.3</v>
      </c>
      <c r="D340">
        <v>50</v>
      </c>
      <c r="E340" s="5">
        <v>1.9078475391948475</v>
      </c>
      <c r="F340" s="5">
        <v>54.864000000000004</v>
      </c>
      <c r="G340" s="5">
        <f t="shared" si="20"/>
        <v>14.182911827605992</v>
      </c>
      <c r="H340" s="5">
        <f t="shared" si="21"/>
        <v>22.081568740681103</v>
      </c>
      <c r="I340" s="5">
        <f t="shared" si="22"/>
        <v>13.451733765145201</v>
      </c>
    </row>
    <row r="341" spans="1:9" x14ac:dyDescent="0.25">
      <c r="A341" t="s">
        <v>305</v>
      </c>
      <c r="B341" t="str">
        <f t="shared" si="23"/>
        <v>SR1501.360</v>
      </c>
      <c r="C341">
        <v>1.3</v>
      </c>
      <c r="D341">
        <v>60</v>
      </c>
      <c r="E341" s="5">
        <v>2.0986322931143326</v>
      </c>
      <c r="F341" s="5">
        <v>57.912000000000006</v>
      </c>
      <c r="G341" s="5">
        <f t="shared" si="20"/>
        <v>15.026305440096543</v>
      </c>
      <c r="H341" s="5">
        <f t="shared" si="21"/>
        <v>24.289725614749219</v>
      </c>
      <c r="I341" s="5">
        <f t="shared" si="22"/>
        <v>13.966389153213226</v>
      </c>
    </row>
    <row r="342" spans="1:9" x14ac:dyDescent="0.25">
      <c r="A342" t="s">
        <v>305</v>
      </c>
      <c r="B342" t="str">
        <f t="shared" si="23"/>
        <v>SR1501.370</v>
      </c>
      <c r="C342">
        <v>1.3</v>
      </c>
      <c r="D342">
        <v>70</v>
      </c>
      <c r="E342" s="5">
        <v>2.2621620821881767</v>
      </c>
      <c r="F342" s="5">
        <v>60.198</v>
      </c>
      <c r="G342" s="5">
        <f t="shared" si="20"/>
        <v>15.662681358006409</v>
      </c>
      <c r="H342" s="5">
        <f t="shared" si="21"/>
        <v>26.1824315068076</v>
      </c>
      <c r="I342" s="5">
        <f t="shared" si="22"/>
        <v>14.443006471761047</v>
      </c>
    </row>
    <row r="343" spans="1:9" x14ac:dyDescent="0.25">
      <c r="A343" t="s">
        <v>305</v>
      </c>
      <c r="B343" t="str">
        <f t="shared" si="23"/>
        <v>SR1501.380</v>
      </c>
      <c r="C343">
        <v>1.3</v>
      </c>
      <c r="D343">
        <v>80</v>
      </c>
      <c r="E343" s="5">
        <v>2.4256918712620208</v>
      </c>
      <c r="F343" s="5">
        <v>62.484000000000002</v>
      </c>
      <c r="G343" s="5">
        <f t="shared" si="20"/>
        <v>16.302340740380842</v>
      </c>
      <c r="H343" s="5">
        <f t="shared" si="21"/>
        <v>28.07513739886598</v>
      </c>
      <c r="I343" s="5">
        <f t="shared" si="22"/>
        <v>14.879408484289561</v>
      </c>
    </row>
    <row r="344" spans="1:9" x14ac:dyDescent="0.25">
      <c r="A344" t="s">
        <v>305</v>
      </c>
      <c r="B344" t="str">
        <f t="shared" si="23"/>
        <v>SR1501.390</v>
      </c>
      <c r="C344">
        <v>1.3</v>
      </c>
      <c r="D344">
        <v>90</v>
      </c>
      <c r="E344" s="5">
        <v>2.5892216603358649</v>
      </c>
      <c r="F344" s="5">
        <v>64.77000000000001</v>
      </c>
      <c r="G344" s="5">
        <f t="shared" si="20"/>
        <v>16.945283587219819</v>
      </c>
      <c r="H344" s="5">
        <f t="shared" si="21"/>
        <v>29.96784329092436</v>
      </c>
      <c r="I344" s="5">
        <f t="shared" si="22"/>
        <v>15.279895712625684</v>
      </c>
    </row>
    <row r="345" spans="1:9" x14ac:dyDescent="0.25">
      <c r="A345" t="s">
        <v>305</v>
      </c>
      <c r="B345" t="str">
        <f t="shared" si="23"/>
        <v>SR1501.3100</v>
      </c>
      <c r="C345">
        <v>1.3</v>
      </c>
      <c r="D345">
        <v>100</v>
      </c>
      <c r="E345" s="5">
        <v>2.7254964845640681</v>
      </c>
      <c r="F345" s="5">
        <v>67.055999999999997</v>
      </c>
      <c r="G345" s="5">
        <f t="shared" si="20"/>
        <v>17.591509898523363</v>
      </c>
      <c r="H345" s="5">
        <f t="shared" si="21"/>
        <v>31.545098200973008</v>
      </c>
      <c r="I345" s="5">
        <f t="shared" si="22"/>
        <v>15.493249301999072</v>
      </c>
    </row>
    <row r="346" spans="1:9" x14ac:dyDescent="0.25">
      <c r="A346" t="s">
        <v>305</v>
      </c>
      <c r="B346" t="str">
        <f t="shared" si="23"/>
        <v>SR1501.3110</v>
      </c>
      <c r="C346">
        <v>1.3</v>
      </c>
      <c r="D346">
        <v>110</v>
      </c>
      <c r="E346" s="5">
        <v>2.8617713087922714</v>
      </c>
      <c r="F346" s="5">
        <v>68.58</v>
      </c>
      <c r="G346" s="5">
        <f t="shared" si="20"/>
        <v>18.024151586317146</v>
      </c>
      <c r="H346" s="5">
        <f t="shared" si="21"/>
        <v>33.12235311102166</v>
      </c>
      <c r="I346" s="5">
        <f t="shared" si="22"/>
        <v>15.877425880976038</v>
      </c>
    </row>
    <row r="347" spans="1:9" x14ac:dyDescent="0.25">
      <c r="A347" t="s">
        <v>305</v>
      </c>
      <c r="B347" t="str">
        <f t="shared" si="23"/>
        <v>SR1501.3120</v>
      </c>
      <c r="C347">
        <v>1.3</v>
      </c>
      <c r="D347">
        <v>120</v>
      </c>
      <c r="E347" s="5">
        <v>2.9707911681748342</v>
      </c>
      <c r="F347" s="5">
        <v>70.103999999999999</v>
      </c>
      <c r="G347" s="5">
        <f t="shared" si="20"/>
        <v>18.458252591650719</v>
      </c>
      <c r="H347" s="5">
        <f t="shared" si="21"/>
        <v>34.384157039060582</v>
      </c>
      <c r="I347" s="5">
        <f t="shared" si="22"/>
        <v>16.094650094444052</v>
      </c>
    </row>
    <row r="348" spans="1:9" x14ac:dyDescent="0.25">
      <c r="A348" t="s">
        <v>305</v>
      </c>
      <c r="B348" t="str">
        <f t="shared" si="23"/>
        <v>SR1501.450</v>
      </c>
      <c r="C348">
        <v>1.4</v>
      </c>
      <c r="D348">
        <v>50</v>
      </c>
      <c r="E348" s="5">
        <v>2.2240051314042795</v>
      </c>
      <c r="F348" s="5">
        <v>56.845200000000006</v>
      </c>
      <c r="G348" s="5">
        <f t="shared" si="20"/>
        <v>14.730453686244225</v>
      </c>
      <c r="H348" s="5">
        <f t="shared" si="21"/>
        <v>25.740800131993975</v>
      </c>
      <c r="I348" s="5">
        <f t="shared" si="22"/>
        <v>15.098008376219449</v>
      </c>
    </row>
    <row r="349" spans="1:9" x14ac:dyDescent="0.25">
      <c r="A349" t="s">
        <v>305</v>
      </c>
      <c r="B349" t="str">
        <f t="shared" si="23"/>
        <v>SR1501.460</v>
      </c>
      <c r="C349">
        <v>1.4</v>
      </c>
      <c r="D349">
        <v>60</v>
      </c>
      <c r="E349" s="5">
        <v>2.4311428642311488</v>
      </c>
      <c r="F349" s="5">
        <v>60.3504</v>
      </c>
      <c r="G349" s="5">
        <f t="shared" si="20"/>
        <v>15.705223164603574</v>
      </c>
      <c r="H349" s="5">
        <f t="shared" si="21"/>
        <v>28.138227595267924</v>
      </c>
      <c r="I349" s="5">
        <f t="shared" si="22"/>
        <v>15.479836477016498</v>
      </c>
    </row>
    <row r="350" spans="1:9" x14ac:dyDescent="0.25">
      <c r="A350" t="s">
        <v>305</v>
      </c>
      <c r="B350" t="str">
        <f t="shared" si="23"/>
        <v>SR1501.470</v>
      </c>
      <c r="C350">
        <v>1.4</v>
      </c>
      <c r="D350">
        <v>70</v>
      </c>
      <c r="E350" s="5">
        <v>2.6328296040888901</v>
      </c>
      <c r="F350" s="5">
        <v>62.788800000000002</v>
      </c>
      <c r="G350" s="5">
        <f t="shared" si="20"/>
        <v>16.38787674201253</v>
      </c>
      <c r="H350" s="5">
        <f t="shared" si="21"/>
        <v>30.472564862139929</v>
      </c>
      <c r="I350" s="5">
        <f t="shared" si="22"/>
        <v>16.065715196278457</v>
      </c>
    </row>
    <row r="351" spans="1:9" x14ac:dyDescent="0.25">
      <c r="A351" t="s">
        <v>305</v>
      </c>
      <c r="B351" t="str">
        <f t="shared" si="23"/>
        <v>SR1501.480</v>
      </c>
      <c r="C351">
        <v>1.4</v>
      </c>
      <c r="D351">
        <v>80</v>
      </c>
      <c r="E351" s="5">
        <v>2.8127123720701181</v>
      </c>
      <c r="F351" s="5">
        <v>65.074799999999996</v>
      </c>
      <c r="G351" s="5">
        <f t="shared" si="20"/>
        <v>17.031257384113466</v>
      </c>
      <c r="H351" s="5">
        <f t="shared" si="21"/>
        <v>32.554541343404146</v>
      </c>
      <c r="I351" s="5">
        <f t="shared" si="22"/>
        <v>16.515001262876687</v>
      </c>
    </row>
    <row r="352" spans="1:9" x14ac:dyDescent="0.25">
      <c r="A352" t="s">
        <v>305</v>
      </c>
      <c r="B352" t="str">
        <f t="shared" si="23"/>
        <v>SR1501.490</v>
      </c>
      <c r="C352">
        <v>1.4</v>
      </c>
      <c r="D352">
        <v>90</v>
      </c>
      <c r="E352" s="5">
        <v>2.9816931541130907</v>
      </c>
      <c r="F352" s="5">
        <v>67.360799999999998</v>
      </c>
      <c r="G352" s="5">
        <f t="shared" si="20"/>
        <v>17.677921490678926</v>
      </c>
      <c r="H352" s="5">
        <f t="shared" si="21"/>
        <v>34.510337431864471</v>
      </c>
      <c r="I352" s="5">
        <f t="shared" si="22"/>
        <v>16.866763186414502</v>
      </c>
    </row>
    <row r="353" spans="1:9" x14ac:dyDescent="0.25">
      <c r="A353" t="s">
        <v>305</v>
      </c>
      <c r="B353" t="str">
        <f t="shared" si="23"/>
        <v>SR1501.4100</v>
      </c>
      <c r="C353">
        <v>1.4</v>
      </c>
      <c r="D353">
        <v>100</v>
      </c>
      <c r="E353" s="5">
        <v>3.1452229431869347</v>
      </c>
      <c r="F353" s="5">
        <v>69.799199999999999</v>
      </c>
      <c r="G353" s="5">
        <f t="shared" si="20"/>
        <v>18.371315645180815</v>
      </c>
      <c r="H353" s="5">
        <f t="shared" si="21"/>
        <v>36.403043323922851</v>
      </c>
      <c r="I353" s="5">
        <f t="shared" si="22"/>
        <v>17.120292329264906</v>
      </c>
    </row>
    <row r="354" spans="1:9" x14ac:dyDescent="0.25">
      <c r="A354" t="s">
        <v>305</v>
      </c>
      <c r="B354" t="str">
        <f t="shared" si="23"/>
        <v>SR1501.4110</v>
      </c>
      <c r="C354">
        <v>1.4</v>
      </c>
      <c r="D354">
        <v>110</v>
      </c>
      <c r="E354" s="5">
        <v>3.2978507463225224</v>
      </c>
      <c r="F354" s="5">
        <v>71.7804</v>
      </c>
      <c r="G354" s="5">
        <f t="shared" si="20"/>
        <v>18.937449209276124</v>
      </c>
      <c r="H354" s="5">
        <f t="shared" si="21"/>
        <v>38.169568823177343</v>
      </c>
      <c r="I354" s="5">
        <f t="shared" si="22"/>
        <v>17.414440085770039</v>
      </c>
    </row>
    <row r="355" spans="1:9" x14ac:dyDescent="0.25">
      <c r="A355" s="8" t="s">
        <v>305</v>
      </c>
      <c r="B355" t="str">
        <f t="shared" si="23"/>
        <v>SR1501.4120</v>
      </c>
      <c r="C355" s="10">
        <v>1.4</v>
      </c>
      <c r="D355">
        <v>120</v>
      </c>
      <c r="E355" s="5">
        <v>3.4450275564889821</v>
      </c>
      <c r="F355" s="5">
        <v>73.304400000000001</v>
      </c>
      <c r="G355" s="5">
        <f t="shared" si="20"/>
        <v>19.374614781443285</v>
      </c>
      <c r="H355" s="5">
        <f t="shared" si="21"/>
        <v>39.873004126029883</v>
      </c>
      <c r="I355" s="5">
        <f t="shared" si="22"/>
        <v>17.781140917385247</v>
      </c>
    </row>
    <row r="356" spans="1:9" x14ac:dyDescent="0.25">
      <c r="A356" s="8" t="s">
        <v>81</v>
      </c>
      <c r="B356" t="s">
        <v>101</v>
      </c>
      <c r="C356" s="10">
        <v>0.4</v>
      </c>
      <c r="D356">
        <v>40</v>
      </c>
      <c r="E356" s="5">
        <v>0.14715</v>
      </c>
      <c r="F356" s="5">
        <v>22.86</v>
      </c>
      <c r="G356" s="5">
        <f t="shared" si="20"/>
        <v>5.6797040823172011</v>
      </c>
      <c r="H356" s="5">
        <f t="shared" si="21"/>
        <v>1.703125</v>
      </c>
      <c r="I356" s="5">
        <f t="shared" si="22"/>
        <v>2.5908039902664415</v>
      </c>
    </row>
    <row r="357" spans="1:9" x14ac:dyDescent="0.25">
      <c r="A357" s="8" t="s">
        <v>81</v>
      </c>
      <c r="B357" t="s">
        <v>102</v>
      </c>
      <c r="C357" s="10">
        <v>0.4</v>
      </c>
      <c r="D357">
        <v>50</v>
      </c>
      <c r="E357" s="5">
        <v>0.16350000000000001</v>
      </c>
      <c r="F357" s="5">
        <v>24.688800000000001</v>
      </c>
      <c r="G357" s="5">
        <f t="shared" si="20"/>
        <v>6.1482649753894378</v>
      </c>
      <c r="H357" s="5">
        <f t="shared" si="21"/>
        <v>1.8923611111111112</v>
      </c>
      <c r="I357" s="5">
        <f t="shared" si="22"/>
        <v>2.6592868175731761</v>
      </c>
    </row>
    <row r="358" spans="1:9" x14ac:dyDescent="0.25">
      <c r="A358" s="8" t="s">
        <v>81</v>
      </c>
      <c r="B358" t="s">
        <v>103</v>
      </c>
      <c r="C358" s="10">
        <v>0.4</v>
      </c>
      <c r="D358">
        <v>60</v>
      </c>
      <c r="E358" s="5">
        <v>0.17985000000000001</v>
      </c>
      <c r="F358" s="5">
        <v>25.908000000000001</v>
      </c>
      <c r="G358" s="5">
        <f t="shared" si="20"/>
        <v>6.4618063581361156</v>
      </c>
      <c r="H358" s="5">
        <f t="shared" si="21"/>
        <v>2.0815972222222223</v>
      </c>
      <c r="I358" s="5">
        <f t="shared" si="22"/>
        <v>2.7832774619367746</v>
      </c>
    </row>
    <row r="359" spans="1:9" x14ac:dyDescent="0.25">
      <c r="A359" s="8" t="s">
        <v>81</v>
      </c>
      <c r="B359" t="s">
        <v>104</v>
      </c>
      <c r="C359" s="5">
        <v>0.4</v>
      </c>
      <c r="D359">
        <v>70</v>
      </c>
      <c r="E359" s="5">
        <v>0.19619999999999999</v>
      </c>
      <c r="F359" s="5">
        <v>26.822400000000002</v>
      </c>
      <c r="G359" s="5">
        <f t="shared" si="20"/>
        <v>6.6975753085628327</v>
      </c>
      <c r="H359" s="5">
        <f t="shared" si="21"/>
        <v>2.270833333333333</v>
      </c>
      <c r="I359" s="5">
        <f t="shared" si="22"/>
        <v>2.9294183485948833</v>
      </c>
    </row>
    <row r="360" spans="1:9" x14ac:dyDescent="0.25">
      <c r="A360" s="8" t="s">
        <v>81</v>
      </c>
      <c r="B360" t="s">
        <v>105</v>
      </c>
      <c r="C360" s="5">
        <v>0.4</v>
      </c>
      <c r="D360">
        <v>80</v>
      </c>
      <c r="E360" s="5">
        <v>0.21254999999999999</v>
      </c>
      <c r="F360" s="5">
        <v>27.736800000000002</v>
      </c>
      <c r="G360" s="5">
        <f t="shared" si="20"/>
        <v>6.9338696133038695</v>
      </c>
      <c r="H360" s="5">
        <f t="shared" si="21"/>
        <v>2.4600694444444442</v>
      </c>
      <c r="I360" s="5">
        <f t="shared" si="22"/>
        <v>3.0653878981540807</v>
      </c>
    </row>
    <row r="361" spans="1:9" x14ac:dyDescent="0.25">
      <c r="A361" s="8" t="s">
        <v>81</v>
      </c>
      <c r="B361" t="s">
        <v>106</v>
      </c>
      <c r="C361" s="5">
        <v>0.45</v>
      </c>
      <c r="D361">
        <v>35</v>
      </c>
      <c r="E361" s="5">
        <v>0.1744</v>
      </c>
      <c r="F361" s="5">
        <v>23.4696</v>
      </c>
      <c r="G361" s="5">
        <f t="shared" si="20"/>
        <v>5.8356575558682593</v>
      </c>
      <c r="H361" s="5">
        <f t="shared" si="21"/>
        <v>2.0185185185185186</v>
      </c>
      <c r="I361" s="5">
        <f t="shared" si="22"/>
        <v>2.9885235439256657</v>
      </c>
    </row>
    <row r="362" spans="1:9" x14ac:dyDescent="0.25">
      <c r="A362" s="8" t="s">
        <v>81</v>
      </c>
      <c r="B362" t="s">
        <v>107</v>
      </c>
      <c r="C362" s="5">
        <v>0.45</v>
      </c>
      <c r="D362">
        <v>40</v>
      </c>
      <c r="E362" s="5">
        <v>0.21254999999999999</v>
      </c>
      <c r="F362" s="5">
        <v>24.384</v>
      </c>
      <c r="G362" s="5">
        <f t="shared" si="20"/>
        <v>6.0700255614567595</v>
      </c>
      <c r="H362" s="5">
        <f t="shared" si="21"/>
        <v>2.4600694444444442</v>
      </c>
      <c r="I362" s="5">
        <f t="shared" si="22"/>
        <v>3.5016327006865127</v>
      </c>
    </row>
    <row r="363" spans="1:9" x14ac:dyDescent="0.25">
      <c r="A363" s="8" t="s">
        <v>81</v>
      </c>
      <c r="B363" t="s">
        <v>108</v>
      </c>
      <c r="C363" s="5">
        <v>0.45</v>
      </c>
      <c r="D363">
        <v>50</v>
      </c>
      <c r="E363" s="5">
        <v>0.22889999999999999</v>
      </c>
      <c r="F363" s="5">
        <v>26.517600000000002</v>
      </c>
      <c r="G363" s="5">
        <f t="shared" si="20"/>
        <v>6.6189272857189962</v>
      </c>
      <c r="H363" s="5">
        <f t="shared" si="21"/>
        <v>2.6493055555555554</v>
      </c>
      <c r="I363" s="5">
        <f t="shared" si="22"/>
        <v>3.458264309594016</v>
      </c>
    </row>
    <row r="364" spans="1:9" x14ac:dyDescent="0.25">
      <c r="A364" s="8" t="s">
        <v>81</v>
      </c>
      <c r="B364" t="s">
        <v>109</v>
      </c>
      <c r="C364" s="5">
        <v>0.45</v>
      </c>
      <c r="D364">
        <v>60</v>
      </c>
      <c r="E364" s="5">
        <v>0.22889999999999999</v>
      </c>
      <c r="F364" s="5">
        <v>28.041600000000003</v>
      </c>
      <c r="G364" s="5">
        <f t="shared" si="20"/>
        <v>7.0127511269540719</v>
      </c>
      <c r="H364" s="5">
        <f t="shared" si="21"/>
        <v>2.6493055555555554</v>
      </c>
      <c r="I364" s="5">
        <f t="shared" si="22"/>
        <v>3.264054232870242</v>
      </c>
    </row>
    <row r="365" spans="1:9" x14ac:dyDescent="0.25">
      <c r="A365" s="8" t="s">
        <v>81</v>
      </c>
      <c r="B365" t="s">
        <v>110</v>
      </c>
      <c r="C365" s="5">
        <v>0.45</v>
      </c>
      <c r="D365">
        <v>70</v>
      </c>
      <c r="E365" s="5">
        <v>0.24525</v>
      </c>
      <c r="F365" s="5">
        <v>29.5656</v>
      </c>
      <c r="G365" s="5">
        <f t="shared" si="20"/>
        <v>7.4080342857289523</v>
      </c>
      <c r="H365" s="5">
        <f t="shared" si="21"/>
        <v>2.8385416666666665</v>
      </c>
      <c r="I365" s="5">
        <f t="shared" si="22"/>
        <v>3.3105948290824814</v>
      </c>
    </row>
    <row r="366" spans="1:9" x14ac:dyDescent="0.25">
      <c r="A366" s="8" t="s">
        <v>81</v>
      </c>
      <c r="B366" t="s">
        <v>111</v>
      </c>
      <c r="C366" s="5">
        <v>0.45</v>
      </c>
      <c r="D366">
        <v>80</v>
      </c>
      <c r="E366" s="5">
        <v>0.26705000000000001</v>
      </c>
      <c r="F366" s="5">
        <v>31.699200000000001</v>
      </c>
      <c r="G366" s="5">
        <f t="shared" si="20"/>
        <v>7.9638823614806498</v>
      </c>
      <c r="H366" s="5">
        <f t="shared" si="21"/>
        <v>3.0908564814814814</v>
      </c>
      <c r="I366" s="5">
        <f t="shared" si="22"/>
        <v>3.3532639971134621</v>
      </c>
    </row>
    <row r="367" spans="1:9" x14ac:dyDescent="0.25">
      <c r="A367" s="8" t="s">
        <v>81</v>
      </c>
      <c r="B367" t="s">
        <v>112</v>
      </c>
      <c r="C367" s="5">
        <v>0.5</v>
      </c>
      <c r="D367">
        <v>30</v>
      </c>
      <c r="E367" s="5">
        <v>0.20165</v>
      </c>
      <c r="F367" s="5">
        <v>24.0792</v>
      </c>
      <c r="G367" s="5">
        <f t="shared" si="20"/>
        <v>5.9918445202256621</v>
      </c>
      <c r="H367" s="5">
        <f t="shared" si="21"/>
        <v>2.3339120370370368</v>
      </c>
      <c r="I367" s="5">
        <f t="shared" si="22"/>
        <v>3.3654077524762869</v>
      </c>
    </row>
    <row r="368" spans="1:9" x14ac:dyDescent="0.25">
      <c r="A368" s="8" t="s">
        <v>81</v>
      </c>
      <c r="B368" t="s">
        <v>113</v>
      </c>
      <c r="C368" s="5">
        <v>0.5</v>
      </c>
      <c r="D368">
        <v>35</v>
      </c>
      <c r="E368" s="5">
        <v>0.218</v>
      </c>
      <c r="F368" s="5">
        <v>24.993600000000001</v>
      </c>
      <c r="G368" s="5">
        <f t="shared" si="20"/>
        <v>6.2265627620237254</v>
      </c>
      <c r="H368" s="5">
        <f t="shared" si="21"/>
        <v>2.5231481481481479</v>
      </c>
      <c r="I368" s="5">
        <f t="shared" si="22"/>
        <v>3.5011290872967407</v>
      </c>
    </row>
    <row r="369" spans="1:9" x14ac:dyDescent="0.25">
      <c r="A369" s="8" t="s">
        <v>81</v>
      </c>
      <c r="B369" t="s">
        <v>114</v>
      </c>
      <c r="C369" s="5">
        <v>0.5</v>
      </c>
      <c r="D369">
        <v>40</v>
      </c>
      <c r="E369" s="5">
        <v>0.23435</v>
      </c>
      <c r="F369" s="5">
        <v>26.212800000000001</v>
      </c>
      <c r="G369" s="5">
        <f t="shared" si="20"/>
        <v>6.5403376355767691</v>
      </c>
      <c r="H369" s="5">
        <f t="shared" si="21"/>
        <v>2.7123842592592591</v>
      </c>
      <c r="I369" s="5">
        <f t="shared" si="22"/>
        <v>3.583148348874706</v>
      </c>
    </row>
    <row r="370" spans="1:9" x14ac:dyDescent="0.25">
      <c r="A370" s="8" t="s">
        <v>81</v>
      </c>
      <c r="B370" t="s">
        <v>115</v>
      </c>
      <c r="C370" s="5">
        <v>0.5</v>
      </c>
      <c r="D370">
        <v>50</v>
      </c>
      <c r="E370" s="5">
        <v>0.2616</v>
      </c>
      <c r="F370" s="5">
        <v>28.346400000000003</v>
      </c>
      <c r="G370" s="5">
        <f t="shared" si="20"/>
        <v>7.0916910133058622</v>
      </c>
      <c r="H370" s="5">
        <f t="shared" si="21"/>
        <v>3.0277777777777777</v>
      </c>
      <c r="I370" s="5">
        <f t="shared" si="22"/>
        <v>3.6888239985240499</v>
      </c>
    </row>
    <row r="371" spans="1:9" x14ac:dyDescent="0.25">
      <c r="A371" s="8" t="s">
        <v>81</v>
      </c>
      <c r="B371" t="s">
        <v>116</v>
      </c>
      <c r="C371" s="5">
        <v>0.5</v>
      </c>
      <c r="D371">
        <v>60</v>
      </c>
      <c r="E371" s="5">
        <v>0.28885</v>
      </c>
      <c r="F371" s="5">
        <v>30.1752</v>
      </c>
      <c r="G371" s="5">
        <f t="shared" si="20"/>
        <v>7.5665561581500427</v>
      </c>
      <c r="H371" s="5">
        <f t="shared" si="21"/>
        <v>3.3431712962962963</v>
      </c>
      <c r="I371" s="5">
        <f t="shared" si="22"/>
        <v>3.8174566336744311</v>
      </c>
    </row>
    <row r="372" spans="1:9" x14ac:dyDescent="0.25">
      <c r="A372" s="8" t="s">
        <v>81</v>
      </c>
      <c r="B372" t="s">
        <v>117</v>
      </c>
      <c r="C372" s="5">
        <v>0.5</v>
      </c>
      <c r="D372">
        <v>70</v>
      </c>
      <c r="E372" s="5">
        <v>0.31064999999999998</v>
      </c>
      <c r="F372" s="5">
        <v>32.004000000000005</v>
      </c>
      <c r="G372" s="5">
        <f t="shared" si="20"/>
        <v>8.0435227202515449</v>
      </c>
      <c r="H372" s="5">
        <f t="shared" si="21"/>
        <v>3.5954861111111107</v>
      </c>
      <c r="I372" s="5">
        <f t="shared" si="22"/>
        <v>3.8621137877544904</v>
      </c>
    </row>
    <row r="373" spans="1:9" x14ac:dyDescent="0.25">
      <c r="A373" s="8" t="s">
        <v>81</v>
      </c>
      <c r="B373" t="s">
        <v>118</v>
      </c>
      <c r="C373" s="5">
        <v>0.5</v>
      </c>
      <c r="D373">
        <v>80</v>
      </c>
      <c r="E373" s="5">
        <v>0.33245000000000002</v>
      </c>
      <c r="F373" s="5">
        <v>33.832799999999999</v>
      </c>
      <c r="G373" s="5">
        <f t="shared" si="20"/>
        <v>8.5225906996103404</v>
      </c>
      <c r="H373" s="5">
        <f t="shared" si="21"/>
        <v>3.847800925925926</v>
      </c>
      <c r="I373" s="5">
        <f t="shared" si="22"/>
        <v>3.9008091754916721</v>
      </c>
    </row>
    <row r="374" spans="1:9" x14ac:dyDescent="0.25">
      <c r="A374" s="8" t="s">
        <v>81</v>
      </c>
      <c r="B374" t="s">
        <v>119</v>
      </c>
      <c r="C374" s="5">
        <v>0.55000000000000004</v>
      </c>
      <c r="D374">
        <v>25</v>
      </c>
      <c r="E374" s="5">
        <v>0.22889999999999999</v>
      </c>
      <c r="F374" s="5">
        <v>22.250400000000003</v>
      </c>
      <c r="G374" s="5">
        <f t="shared" si="20"/>
        <v>5.5239840995725302</v>
      </c>
      <c r="H374" s="5">
        <f t="shared" si="21"/>
        <v>2.6493055555555554</v>
      </c>
      <c r="I374" s="5">
        <f t="shared" si="22"/>
        <v>4.1437483503566428</v>
      </c>
    </row>
    <row r="375" spans="1:9" x14ac:dyDescent="0.25">
      <c r="A375" s="8" t="s">
        <v>81</v>
      </c>
      <c r="B375" t="s">
        <v>120</v>
      </c>
      <c r="C375" s="5">
        <v>0.55000000000000004</v>
      </c>
      <c r="D375">
        <v>30</v>
      </c>
      <c r="E375" s="5">
        <v>0.24525</v>
      </c>
      <c r="F375" s="5">
        <v>24.0792</v>
      </c>
      <c r="G375" s="5">
        <f t="shared" si="20"/>
        <v>5.9918445202256621</v>
      </c>
      <c r="H375" s="5">
        <f t="shared" si="21"/>
        <v>2.8385416666666665</v>
      </c>
      <c r="I375" s="5">
        <f t="shared" si="22"/>
        <v>4.0930634827414298</v>
      </c>
    </row>
    <row r="376" spans="1:9" x14ac:dyDescent="0.25">
      <c r="A376" s="8" t="s">
        <v>81</v>
      </c>
      <c r="B376" t="s">
        <v>121</v>
      </c>
      <c r="C376" s="5">
        <v>0.55000000000000004</v>
      </c>
      <c r="D376">
        <v>35</v>
      </c>
      <c r="E376" s="5">
        <v>0.26705000000000001</v>
      </c>
      <c r="F376" s="5">
        <v>26.212800000000001</v>
      </c>
      <c r="G376" s="5">
        <f t="shared" si="20"/>
        <v>6.5403376355767691</v>
      </c>
      <c r="H376" s="5">
        <f t="shared" si="21"/>
        <v>3.0908564814814814</v>
      </c>
      <c r="I376" s="5">
        <f t="shared" si="22"/>
        <v>4.0831225370897819</v>
      </c>
    </row>
    <row r="377" spans="1:9" x14ac:dyDescent="0.25">
      <c r="A377" s="8" t="s">
        <v>81</v>
      </c>
      <c r="B377" t="s">
        <v>122</v>
      </c>
      <c r="C377" s="5">
        <v>0.55000000000000004</v>
      </c>
      <c r="D377">
        <v>40</v>
      </c>
      <c r="E377" s="5">
        <v>0.28339999999999999</v>
      </c>
      <c r="F377" s="5">
        <v>27.432000000000002</v>
      </c>
      <c r="G377" s="5">
        <f t="shared" si="20"/>
        <v>6.8550464723552622</v>
      </c>
      <c r="H377" s="5">
        <f t="shared" si="21"/>
        <v>3.2800925925925921</v>
      </c>
      <c r="I377" s="5">
        <f t="shared" si="22"/>
        <v>4.1341805798528624</v>
      </c>
    </row>
    <row r="378" spans="1:9" x14ac:dyDescent="0.25">
      <c r="A378" s="8" t="s">
        <v>81</v>
      </c>
      <c r="B378" t="s">
        <v>123</v>
      </c>
      <c r="C378" s="5">
        <v>0.55000000000000004</v>
      </c>
      <c r="D378">
        <v>50</v>
      </c>
      <c r="E378" s="5">
        <v>0.32155</v>
      </c>
      <c r="F378" s="5">
        <v>29.8704</v>
      </c>
      <c r="G378" s="5">
        <f t="shared" si="20"/>
        <v>7.4872660355887106</v>
      </c>
      <c r="H378" s="5">
        <f t="shared" si="21"/>
        <v>3.7216435185185182</v>
      </c>
      <c r="I378" s="5">
        <f t="shared" si="22"/>
        <v>4.2946250136110882</v>
      </c>
    </row>
    <row r="379" spans="1:9" x14ac:dyDescent="0.25">
      <c r="A379" s="8" t="s">
        <v>81</v>
      </c>
      <c r="B379" t="s">
        <v>124</v>
      </c>
      <c r="C379" s="10">
        <v>0.55000000000000004</v>
      </c>
      <c r="D379">
        <v>60</v>
      </c>
      <c r="E379" s="5">
        <v>0.3488</v>
      </c>
      <c r="F379" s="5">
        <v>31.699200000000001</v>
      </c>
      <c r="G379" s="5">
        <f t="shared" si="20"/>
        <v>7.9638823614806498</v>
      </c>
      <c r="H379" s="5">
        <f t="shared" si="21"/>
        <v>4.0370370370370372</v>
      </c>
      <c r="I379" s="5">
        <f t="shared" si="22"/>
        <v>4.3797733839849302</v>
      </c>
    </row>
    <row r="380" spans="1:9" x14ac:dyDescent="0.25">
      <c r="A380" s="8" t="s">
        <v>81</v>
      </c>
      <c r="B380" t="s">
        <v>125</v>
      </c>
      <c r="C380" s="10">
        <v>0.55000000000000004</v>
      </c>
      <c r="D380">
        <v>70</v>
      </c>
      <c r="E380" s="5">
        <v>0.37605</v>
      </c>
      <c r="F380" s="5">
        <v>33.832799999999999</v>
      </c>
      <c r="G380" s="5">
        <f t="shared" si="20"/>
        <v>8.5225906996103404</v>
      </c>
      <c r="H380" s="5">
        <f t="shared" si="21"/>
        <v>4.3524305555555554</v>
      </c>
      <c r="I380" s="5">
        <f t="shared" si="22"/>
        <v>4.412390706703694</v>
      </c>
    </row>
    <row r="381" spans="1:9" x14ac:dyDescent="0.25">
      <c r="A381" s="8" t="s">
        <v>81</v>
      </c>
      <c r="B381" t="s">
        <v>126</v>
      </c>
      <c r="C381" s="10">
        <v>0.55000000000000004</v>
      </c>
      <c r="D381">
        <v>80</v>
      </c>
      <c r="E381" s="5">
        <v>0.40329999999999999</v>
      </c>
      <c r="F381" s="5">
        <v>35.6616</v>
      </c>
      <c r="G381" s="5">
        <f t="shared" si="20"/>
        <v>9.0037600962264648</v>
      </c>
      <c r="H381" s="5">
        <f t="shared" si="21"/>
        <v>4.6678240740740735</v>
      </c>
      <c r="I381" s="5">
        <f t="shared" si="22"/>
        <v>4.4792397363966385</v>
      </c>
    </row>
    <row r="382" spans="1:9" x14ac:dyDescent="0.25">
      <c r="A382" s="8" t="s">
        <v>81</v>
      </c>
      <c r="B382" t="s">
        <v>127</v>
      </c>
      <c r="C382" s="10">
        <v>0.6</v>
      </c>
      <c r="D382">
        <v>25</v>
      </c>
      <c r="E382" s="5">
        <v>0.27250000000000002</v>
      </c>
      <c r="F382" s="5">
        <v>23.7744</v>
      </c>
      <c r="G382" s="5">
        <f t="shared" si="20"/>
        <v>5.9137218516961667</v>
      </c>
      <c r="H382" s="5">
        <f t="shared" si="21"/>
        <v>3.1539351851851851</v>
      </c>
      <c r="I382" s="5">
        <f t="shared" si="22"/>
        <v>4.60792723827283</v>
      </c>
    </row>
    <row r="383" spans="1:9" x14ac:dyDescent="0.25">
      <c r="A383" s="8" t="s">
        <v>81</v>
      </c>
      <c r="B383" t="s">
        <v>128</v>
      </c>
      <c r="C383" s="5">
        <v>0.6</v>
      </c>
      <c r="D383">
        <v>30</v>
      </c>
      <c r="E383" s="5">
        <v>0.29975000000000002</v>
      </c>
      <c r="F383" s="5">
        <v>25.298400000000001</v>
      </c>
      <c r="G383" s="5">
        <f t="shared" si="20"/>
        <v>6.3049189213596009</v>
      </c>
      <c r="H383" s="5">
        <f t="shared" si="21"/>
        <v>3.4693287037037037</v>
      </c>
      <c r="I383" s="5">
        <f t="shared" si="22"/>
        <v>4.7542244989783553</v>
      </c>
    </row>
    <row r="384" spans="1:9" x14ac:dyDescent="0.25">
      <c r="A384" s="8" t="s">
        <v>81</v>
      </c>
      <c r="B384" t="s">
        <v>129</v>
      </c>
      <c r="C384" s="5">
        <v>0.6</v>
      </c>
      <c r="D384">
        <v>35</v>
      </c>
      <c r="E384" s="5">
        <v>0.32155</v>
      </c>
      <c r="F384" s="5">
        <v>27.127200000000002</v>
      </c>
      <c r="G384" s="5">
        <f t="shared" si="20"/>
        <v>6.7762817041082499</v>
      </c>
      <c r="H384" s="5">
        <f t="shared" si="21"/>
        <v>3.7216435185185182</v>
      </c>
      <c r="I384" s="5">
        <f t="shared" si="22"/>
        <v>4.7452277523387822</v>
      </c>
    </row>
    <row r="385" spans="1:9" x14ac:dyDescent="0.25">
      <c r="A385" s="8" t="s">
        <v>81</v>
      </c>
      <c r="B385" t="s">
        <v>130</v>
      </c>
      <c r="C385" s="5">
        <v>0.6</v>
      </c>
      <c r="D385">
        <v>40</v>
      </c>
      <c r="E385" s="5">
        <v>0.34334999999999999</v>
      </c>
      <c r="F385" s="5">
        <v>28.956000000000003</v>
      </c>
      <c r="G385" s="5">
        <f t="shared" si="20"/>
        <v>7.2497459041142207</v>
      </c>
      <c r="H385" s="5">
        <f t="shared" si="21"/>
        <v>3.973958333333333</v>
      </c>
      <c r="I385" s="5">
        <f t="shared" si="22"/>
        <v>4.7360280558957157</v>
      </c>
    </row>
    <row r="386" spans="1:9" x14ac:dyDescent="0.25">
      <c r="A386" s="8" t="s">
        <v>81</v>
      </c>
      <c r="B386" t="s">
        <v>131</v>
      </c>
      <c r="C386" s="5">
        <v>0.6</v>
      </c>
      <c r="D386">
        <v>50</v>
      </c>
      <c r="E386" s="5">
        <v>0.38150000000000001</v>
      </c>
      <c r="F386" s="5">
        <v>31.089600000000001</v>
      </c>
      <c r="G386" s="5">
        <f t="shared" si="20"/>
        <v>7.8047767620436375</v>
      </c>
      <c r="H386" s="5">
        <f t="shared" si="21"/>
        <v>4.4155092592592595</v>
      </c>
      <c r="I386" s="5">
        <f t="shared" si="22"/>
        <v>4.8880321837687815</v>
      </c>
    </row>
    <row r="387" spans="1:9" x14ac:dyDescent="0.25">
      <c r="A387" s="8" t="s">
        <v>81</v>
      </c>
      <c r="B387" t="s">
        <v>132</v>
      </c>
      <c r="C387" s="5">
        <v>0.6</v>
      </c>
      <c r="D387">
        <v>60</v>
      </c>
      <c r="E387" s="5">
        <v>0.41965000000000002</v>
      </c>
      <c r="F387" s="5">
        <v>33.527999999999999</v>
      </c>
      <c r="G387" s="5">
        <f t="shared" ref="G387:G450" si="24">(PI()*(G$1+F387)^2)/10000-((PI()*(G$1)^2)/10000)</f>
        <v>8.4426001046298964</v>
      </c>
      <c r="H387" s="5">
        <f t="shared" ref="H387:H450" si="25">E387/0.0864</f>
        <v>4.8570601851851851</v>
      </c>
      <c r="I387" s="5">
        <f t="shared" ref="I387:I450" si="26">E387/G387*100</f>
        <v>4.9706251012631197</v>
      </c>
    </row>
    <row r="388" spans="1:9" x14ac:dyDescent="0.25">
      <c r="A388" s="8" t="s">
        <v>81</v>
      </c>
      <c r="B388" t="s">
        <v>133</v>
      </c>
      <c r="C388" s="5">
        <v>0.6</v>
      </c>
      <c r="D388">
        <v>70</v>
      </c>
      <c r="E388" s="5">
        <v>0.45234999999999997</v>
      </c>
      <c r="F388" s="5">
        <v>35.3568</v>
      </c>
      <c r="G388" s="5">
        <f t="shared" si="24"/>
        <v>8.9234192650364648</v>
      </c>
      <c r="H388" s="5">
        <f t="shared" si="25"/>
        <v>5.2355324074074066</v>
      </c>
      <c r="I388" s="5">
        <f t="shared" si="26"/>
        <v>5.0692451689722491</v>
      </c>
    </row>
    <row r="389" spans="1:9" x14ac:dyDescent="0.25">
      <c r="A389" s="8" t="s">
        <v>81</v>
      </c>
      <c r="B389" t="s">
        <v>134</v>
      </c>
      <c r="C389" s="5">
        <v>0.6</v>
      </c>
      <c r="D389">
        <v>80</v>
      </c>
      <c r="E389" s="5">
        <v>0.48504999999999998</v>
      </c>
      <c r="F389" s="5">
        <v>37.185600000000001</v>
      </c>
      <c r="G389" s="5">
        <f t="shared" si="24"/>
        <v>9.4063398427003477</v>
      </c>
      <c r="H389" s="5">
        <f t="shared" si="25"/>
        <v>5.6140046296296289</v>
      </c>
      <c r="I389" s="5">
        <f t="shared" si="26"/>
        <v>5.1566284879279154</v>
      </c>
    </row>
    <row r="390" spans="1:9" x14ac:dyDescent="0.25">
      <c r="A390" s="8" t="s">
        <v>81</v>
      </c>
      <c r="B390" t="s">
        <v>135</v>
      </c>
      <c r="C390" s="5">
        <v>0.65</v>
      </c>
      <c r="D390">
        <v>25</v>
      </c>
      <c r="E390" s="5">
        <v>0.32155</v>
      </c>
      <c r="F390" s="5">
        <v>24.688800000000001</v>
      </c>
      <c r="G390" s="5">
        <f t="shared" si="24"/>
        <v>6.1482649753894378</v>
      </c>
      <c r="H390" s="5">
        <f t="shared" si="25"/>
        <v>3.7216435185185182</v>
      </c>
      <c r="I390" s="5">
        <f t="shared" si="26"/>
        <v>5.2299307412272462</v>
      </c>
    </row>
    <row r="391" spans="1:9" x14ac:dyDescent="0.25">
      <c r="A391" s="8" t="s">
        <v>81</v>
      </c>
      <c r="B391" t="s">
        <v>136</v>
      </c>
      <c r="C391" s="5">
        <v>0.65</v>
      </c>
      <c r="D391">
        <v>30</v>
      </c>
      <c r="E391" s="5">
        <v>0.3488</v>
      </c>
      <c r="F391" s="5">
        <v>26.212800000000001</v>
      </c>
      <c r="G391" s="5">
        <f t="shared" si="24"/>
        <v>6.5403376355767691</v>
      </c>
      <c r="H391" s="5">
        <f t="shared" si="25"/>
        <v>4.0370370370370372</v>
      </c>
      <c r="I391" s="5">
        <f t="shared" si="26"/>
        <v>5.3330580076274696</v>
      </c>
    </row>
    <row r="392" spans="1:9" x14ac:dyDescent="0.25">
      <c r="A392" s="8" t="s">
        <v>81</v>
      </c>
      <c r="B392" t="s">
        <v>137</v>
      </c>
      <c r="C392" s="5">
        <v>0.65</v>
      </c>
      <c r="D392">
        <v>35</v>
      </c>
      <c r="E392" s="5">
        <v>0.37605</v>
      </c>
      <c r="F392" s="5">
        <v>29.260800000000003</v>
      </c>
      <c r="G392" s="5">
        <f t="shared" si="24"/>
        <v>7.3288609085708032</v>
      </c>
      <c r="H392" s="5">
        <f t="shared" si="25"/>
        <v>4.3524305555555554</v>
      </c>
      <c r="I392" s="5">
        <f t="shared" si="26"/>
        <v>5.1310838708949289</v>
      </c>
    </row>
    <row r="393" spans="1:9" x14ac:dyDescent="0.25">
      <c r="A393" s="8" t="s">
        <v>81</v>
      </c>
      <c r="B393" t="s">
        <v>138</v>
      </c>
      <c r="C393" s="5">
        <v>0.65</v>
      </c>
      <c r="D393">
        <v>40</v>
      </c>
      <c r="E393" s="5">
        <v>0.40329999999999999</v>
      </c>
      <c r="F393" s="5">
        <v>30.1752</v>
      </c>
      <c r="G393" s="5">
        <f t="shared" si="24"/>
        <v>7.5665561581500427</v>
      </c>
      <c r="H393" s="5">
        <f t="shared" si="25"/>
        <v>4.6678240740740735</v>
      </c>
      <c r="I393" s="5">
        <f t="shared" si="26"/>
        <v>5.3300337904133572</v>
      </c>
    </row>
    <row r="394" spans="1:9" x14ac:dyDescent="0.25">
      <c r="A394" s="8" t="s">
        <v>81</v>
      </c>
      <c r="B394" t="s">
        <v>139</v>
      </c>
      <c r="C394" s="5">
        <v>0.65</v>
      </c>
      <c r="D394">
        <v>50</v>
      </c>
      <c r="E394" s="5">
        <v>0.45234999999999997</v>
      </c>
      <c r="F394" s="5">
        <v>32.308800000000005</v>
      </c>
      <c r="G394" s="5">
        <f t="shared" si="24"/>
        <v>8.123221451724028</v>
      </c>
      <c r="H394" s="5">
        <f t="shared" si="25"/>
        <v>5.2355324074074066</v>
      </c>
      <c r="I394" s="5">
        <f t="shared" si="26"/>
        <v>5.5686035729580619</v>
      </c>
    </row>
    <row r="395" spans="1:9" x14ac:dyDescent="0.25">
      <c r="A395" s="8" t="s">
        <v>81</v>
      </c>
      <c r="B395" t="s">
        <v>140</v>
      </c>
      <c r="C395" s="5">
        <v>0.65</v>
      </c>
      <c r="D395">
        <v>60</v>
      </c>
      <c r="E395" s="5">
        <v>0.49595</v>
      </c>
      <c r="F395" s="5">
        <v>34.747199999999999</v>
      </c>
      <c r="G395" s="5">
        <f t="shared" si="24"/>
        <v>8.7629127207612498</v>
      </c>
      <c r="H395" s="5">
        <f t="shared" si="25"/>
        <v>5.7401620370370363</v>
      </c>
      <c r="I395" s="5">
        <f t="shared" si="26"/>
        <v>5.6596478340470791</v>
      </c>
    </row>
    <row r="396" spans="1:9" x14ac:dyDescent="0.25">
      <c r="A396" s="8" t="s">
        <v>81</v>
      </c>
      <c r="B396" t="s">
        <v>141</v>
      </c>
      <c r="C396" s="5">
        <v>0.65</v>
      </c>
      <c r="D396">
        <v>70</v>
      </c>
      <c r="E396" s="5">
        <v>0.53410000000000002</v>
      </c>
      <c r="F396" s="5">
        <v>37.185600000000001</v>
      </c>
      <c r="G396" s="5">
        <f t="shared" si="24"/>
        <v>9.4063398427003477</v>
      </c>
      <c r="H396" s="5">
        <f t="shared" si="25"/>
        <v>6.1817129629629628</v>
      </c>
      <c r="I396" s="5">
        <f t="shared" si="26"/>
        <v>5.6780853013138843</v>
      </c>
    </row>
    <row r="397" spans="1:9" x14ac:dyDescent="0.25">
      <c r="A397" s="8" t="s">
        <v>81</v>
      </c>
      <c r="B397" t="s">
        <v>142</v>
      </c>
      <c r="C397" s="5">
        <v>0.65</v>
      </c>
      <c r="D397">
        <v>80</v>
      </c>
      <c r="E397" s="5">
        <v>0.57225000000000004</v>
      </c>
      <c r="F397" s="5">
        <v>39.014400000000002</v>
      </c>
      <c r="G397" s="5">
        <f t="shared" si="24"/>
        <v>9.8913618376215311</v>
      </c>
      <c r="H397" s="5">
        <f t="shared" si="25"/>
        <v>6.6232638888888893</v>
      </c>
      <c r="I397" s="5">
        <f t="shared" si="26"/>
        <v>5.7853509900271005</v>
      </c>
    </row>
    <row r="398" spans="1:9" x14ac:dyDescent="0.25">
      <c r="A398" s="8" t="s">
        <v>81</v>
      </c>
      <c r="B398" t="s">
        <v>143</v>
      </c>
      <c r="C398" s="5">
        <v>0.7</v>
      </c>
      <c r="D398">
        <v>25</v>
      </c>
      <c r="E398" s="5">
        <v>0.37605</v>
      </c>
      <c r="F398" s="5">
        <v>25.603200000000001</v>
      </c>
      <c r="G398" s="5">
        <f t="shared" si="24"/>
        <v>6.3833334533970501</v>
      </c>
      <c r="H398" s="5">
        <f t="shared" si="25"/>
        <v>4.3524305555555554</v>
      </c>
      <c r="I398" s="5">
        <f t="shared" si="26"/>
        <v>5.8911226045989435</v>
      </c>
    </row>
    <row r="399" spans="1:9" x14ac:dyDescent="0.25">
      <c r="A399" s="8" t="s">
        <v>81</v>
      </c>
      <c r="B399" t="s">
        <v>144</v>
      </c>
      <c r="C399" s="5">
        <v>0.7</v>
      </c>
      <c r="D399">
        <v>30</v>
      </c>
      <c r="E399" s="5">
        <v>0.40875</v>
      </c>
      <c r="F399" s="5">
        <v>27.736800000000002</v>
      </c>
      <c r="G399" s="5">
        <f t="shared" si="24"/>
        <v>6.9338696133038695</v>
      </c>
      <c r="H399" s="5">
        <f t="shared" si="25"/>
        <v>4.7309027777777777</v>
      </c>
      <c r="I399" s="5">
        <f t="shared" si="26"/>
        <v>5.8949767272193876</v>
      </c>
    </row>
    <row r="400" spans="1:9" x14ac:dyDescent="0.25">
      <c r="A400" s="8" t="s">
        <v>81</v>
      </c>
      <c r="B400" t="s">
        <v>145</v>
      </c>
      <c r="C400" s="5">
        <v>0.7</v>
      </c>
      <c r="D400">
        <v>35</v>
      </c>
      <c r="E400" s="5">
        <v>0.44145000000000001</v>
      </c>
      <c r="F400" s="5">
        <v>29.8704</v>
      </c>
      <c r="G400" s="5">
        <f t="shared" si="24"/>
        <v>7.4872660355887106</v>
      </c>
      <c r="H400" s="5">
        <f t="shared" si="25"/>
        <v>5.109375</v>
      </c>
      <c r="I400" s="5">
        <f t="shared" si="26"/>
        <v>5.8960106119067479</v>
      </c>
    </row>
    <row r="401" spans="1:9" x14ac:dyDescent="0.25">
      <c r="A401" s="8" t="s">
        <v>81</v>
      </c>
      <c r="B401" t="s">
        <v>146</v>
      </c>
      <c r="C401" s="5">
        <v>0.7</v>
      </c>
      <c r="D401">
        <v>40</v>
      </c>
      <c r="E401" s="5">
        <v>0.47415000000000002</v>
      </c>
      <c r="F401" s="5">
        <v>31.089600000000001</v>
      </c>
      <c r="G401" s="5">
        <f t="shared" si="24"/>
        <v>7.8047767620436375</v>
      </c>
      <c r="H401" s="5">
        <f t="shared" si="25"/>
        <v>5.4878472222222223</v>
      </c>
      <c r="I401" s="5">
        <f t="shared" si="26"/>
        <v>6.0751257141126285</v>
      </c>
    </row>
    <row r="402" spans="1:9" x14ac:dyDescent="0.25">
      <c r="A402" s="8" t="s">
        <v>81</v>
      </c>
      <c r="B402" t="s">
        <v>147</v>
      </c>
      <c r="C402" s="5">
        <v>0.7</v>
      </c>
      <c r="D402">
        <v>50</v>
      </c>
      <c r="E402" s="5">
        <v>0.51775000000000004</v>
      </c>
      <c r="F402" s="5">
        <v>33.527999999999999</v>
      </c>
      <c r="G402" s="5">
        <f t="shared" si="24"/>
        <v>8.4426001046298964</v>
      </c>
      <c r="H402" s="5">
        <f t="shared" si="25"/>
        <v>5.9924768518518521</v>
      </c>
      <c r="I402" s="5">
        <f t="shared" si="26"/>
        <v>6.1325894106493033</v>
      </c>
    </row>
    <row r="403" spans="1:9" x14ac:dyDescent="0.25">
      <c r="A403" t="s">
        <v>81</v>
      </c>
      <c r="B403" t="s">
        <v>148</v>
      </c>
      <c r="C403">
        <v>0.7</v>
      </c>
      <c r="D403">
        <v>60</v>
      </c>
      <c r="E403" s="5">
        <v>0.56679999999999997</v>
      </c>
      <c r="F403" s="5">
        <v>36.2712</v>
      </c>
      <c r="G403" s="5">
        <f t="shared" si="24"/>
        <v>9.1646168767112357</v>
      </c>
      <c r="H403" s="5">
        <f t="shared" si="25"/>
        <v>6.5601851851851842</v>
      </c>
      <c r="I403" s="5">
        <f t="shared" si="26"/>
        <v>6.1846556994687889</v>
      </c>
    </row>
    <row r="404" spans="1:9" x14ac:dyDescent="0.25">
      <c r="A404" t="s">
        <v>81</v>
      </c>
      <c r="B404" t="s">
        <v>149</v>
      </c>
      <c r="C404">
        <v>0.7</v>
      </c>
      <c r="D404">
        <v>70</v>
      </c>
      <c r="E404" s="5">
        <v>0.61585000000000001</v>
      </c>
      <c r="F404" s="5">
        <v>38.709600000000002</v>
      </c>
      <c r="G404" s="5">
        <f t="shared" si="24"/>
        <v>9.8103789067140283</v>
      </c>
      <c r="H404" s="5">
        <f t="shared" si="25"/>
        <v>7.1278935185185182</v>
      </c>
      <c r="I404" s="5">
        <f t="shared" si="26"/>
        <v>6.2775353108790179</v>
      </c>
    </row>
    <row r="405" spans="1:9" x14ac:dyDescent="0.25">
      <c r="A405" t="s">
        <v>81</v>
      </c>
      <c r="B405" t="s">
        <v>150</v>
      </c>
      <c r="C405">
        <v>0.7</v>
      </c>
      <c r="D405">
        <v>80</v>
      </c>
      <c r="E405" s="5">
        <v>0.65944999999999998</v>
      </c>
      <c r="F405" s="5">
        <v>40.538400000000003</v>
      </c>
      <c r="G405" s="5">
        <f t="shared" si="24"/>
        <v>10.297152082682977</v>
      </c>
      <c r="H405" s="5">
        <f t="shared" si="25"/>
        <v>7.6325231481481479</v>
      </c>
      <c r="I405" s="5">
        <f t="shared" si="26"/>
        <v>6.4041979248710561</v>
      </c>
    </row>
    <row r="406" spans="1:9" x14ac:dyDescent="0.25">
      <c r="A406" t="s">
        <v>81</v>
      </c>
      <c r="B406" t="s">
        <v>151</v>
      </c>
      <c r="C406">
        <v>0.75</v>
      </c>
      <c r="D406">
        <v>25</v>
      </c>
      <c r="E406" s="5">
        <v>0.436</v>
      </c>
      <c r="F406" s="5">
        <v>26.517600000000002</v>
      </c>
      <c r="G406" s="5">
        <f t="shared" si="24"/>
        <v>6.6189272857189962</v>
      </c>
      <c r="H406" s="5">
        <f t="shared" si="25"/>
        <v>5.0462962962962958</v>
      </c>
      <c r="I406" s="5">
        <f t="shared" si="26"/>
        <v>6.5871701135124114</v>
      </c>
    </row>
    <row r="407" spans="1:9" x14ac:dyDescent="0.25">
      <c r="A407" t="s">
        <v>81</v>
      </c>
      <c r="B407" t="s">
        <v>152</v>
      </c>
      <c r="C407">
        <v>0.75</v>
      </c>
      <c r="D407">
        <v>30</v>
      </c>
      <c r="E407" s="5">
        <v>0.47415000000000002</v>
      </c>
      <c r="F407" s="5">
        <v>28.651200000000003</v>
      </c>
      <c r="G407" s="5">
        <f t="shared" si="24"/>
        <v>7.1706892723592546</v>
      </c>
      <c r="H407" s="5">
        <f t="shared" si="25"/>
        <v>5.4878472222222223</v>
      </c>
      <c r="I407" s="5">
        <f t="shared" si="26"/>
        <v>6.6123350488452859</v>
      </c>
    </row>
    <row r="408" spans="1:9" x14ac:dyDescent="0.25">
      <c r="A408" t="s">
        <v>81</v>
      </c>
      <c r="B408" t="s">
        <v>153</v>
      </c>
      <c r="C408">
        <v>0.75</v>
      </c>
      <c r="D408">
        <v>35</v>
      </c>
      <c r="E408" s="5">
        <v>0.50685000000000002</v>
      </c>
      <c r="F408" s="5">
        <v>30.784800000000001</v>
      </c>
      <c r="G408" s="5">
        <f t="shared" si="24"/>
        <v>7.7253115213775132</v>
      </c>
      <c r="H408" s="5">
        <f t="shared" si="25"/>
        <v>5.8663194444444446</v>
      </c>
      <c r="I408" s="5">
        <f t="shared" si="26"/>
        <v>6.5609004711000019</v>
      </c>
    </row>
    <row r="409" spans="1:9" x14ac:dyDescent="0.25">
      <c r="A409" t="s">
        <v>81</v>
      </c>
      <c r="B409" t="s">
        <v>154</v>
      </c>
      <c r="C409">
        <v>0.75</v>
      </c>
      <c r="D409">
        <v>40</v>
      </c>
      <c r="E409" s="5">
        <v>0.53410000000000002</v>
      </c>
      <c r="F409" s="5">
        <v>32.613599999999998</v>
      </c>
      <c r="G409" s="5">
        <f t="shared" si="24"/>
        <v>8.2029785558981061</v>
      </c>
      <c r="H409" s="5">
        <f t="shared" si="25"/>
        <v>6.1817129629629628</v>
      </c>
      <c r="I409" s="5">
        <f t="shared" si="26"/>
        <v>6.5110495701097673</v>
      </c>
    </row>
    <row r="410" spans="1:9" x14ac:dyDescent="0.25">
      <c r="A410" t="s">
        <v>81</v>
      </c>
      <c r="B410" t="s">
        <v>155</v>
      </c>
      <c r="C410">
        <v>0.75</v>
      </c>
      <c r="D410">
        <v>50</v>
      </c>
      <c r="E410" s="5">
        <v>0.59404999999999997</v>
      </c>
      <c r="F410" s="5">
        <v>35.052</v>
      </c>
      <c r="G410" s="5">
        <f t="shared" si="24"/>
        <v>8.8431368065480598</v>
      </c>
      <c r="H410" s="5">
        <f t="shared" si="25"/>
        <v>6.8755787037037033</v>
      </c>
      <c r="I410" s="5">
        <f t="shared" si="26"/>
        <v>6.7176389215207548</v>
      </c>
    </row>
    <row r="411" spans="1:9" x14ac:dyDescent="0.25">
      <c r="A411" t="s">
        <v>81</v>
      </c>
      <c r="B411" t="s">
        <v>156</v>
      </c>
      <c r="C411">
        <v>0.75</v>
      </c>
      <c r="D411">
        <v>60</v>
      </c>
      <c r="E411" s="5">
        <v>0.65400000000000003</v>
      </c>
      <c r="F411" s="5">
        <v>37.490400000000001</v>
      </c>
      <c r="G411" s="5">
        <f t="shared" si="24"/>
        <v>9.4870309100998966</v>
      </c>
      <c r="H411" s="5">
        <f t="shared" si="25"/>
        <v>7.5694444444444446</v>
      </c>
      <c r="I411" s="5">
        <f t="shared" si="26"/>
        <v>6.8936214733289356</v>
      </c>
    </row>
    <row r="412" spans="1:9" x14ac:dyDescent="0.25">
      <c r="A412" t="s">
        <v>81</v>
      </c>
      <c r="B412" t="s">
        <v>157</v>
      </c>
      <c r="C412">
        <v>0.75</v>
      </c>
      <c r="D412">
        <v>70</v>
      </c>
      <c r="E412" s="5">
        <v>0.70304999999999995</v>
      </c>
      <c r="F412" s="5">
        <v>39.624000000000002</v>
      </c>
      <c r="G412" s="5">
        <f t="shared" si="24"/>
        <v>10.053502817541336</v>
      </c>
      <c r="H412" s="5">
        <f t="shared" si="25"/>
        <v>8.1371527777777768</v>
      </c>
      <c r="I412" s="5">
        <f t="shared" si="26"/>
        <v>6.9930850247867786</v>
      </c>
    </row>
    <row r="413" spans="1:9" x14ac:dyDescent="0.25">
      <c r="A413" t="s">
        <v>81</v>
      </c>
      <c r="B413" t="s">
        <v>158</v>
      </c>
      <c r="C413">
        <v>0.75</v>
      </c>
      <c r="D413">
        <v>80</v>
      </c>
      <c r="E413" s="5">
        <v>0.75209999999999999</v>
      </c>
      <c r="F413" s="5">
        <v>41.757600000000004</v>
      </c>
      <c r="G413" s="5">
        <f t="shared" si="24"/>
        <v>10.622834987360797</v>
      </c>
      <c r="H413" s="5">
        <f t="shared" si="25"/>
        <v>8.7048611111111107</v>
      </c>
      <c r="I413" s="5">
        <f t="shared" si="26"/>
        <v>7.0800309041311431</v>
      </c>
    </row>
    <row r="414" spans="1:9" x14ac:dyDescent="0.25">
      <c r="A414" t="s">
        <v>81</v>
      </c>
      <c r="B414" t="s">
        <v>159</v>
      </c>
      <c r="C414">
        <v>0.8</v>
      </c>
      <c r="D414">
        <v>25</v>
      </c>
      <c r="E414" s="5">
        <v>0.49595</v>
      </c>
      <c r="F414" s="5">
        <v>27.736800000000002</v>
      </c>
      <c r="G414" s="5">
        <f t="shared" si="24"/>
        <v>6.9338696133038695</v>
      </c>
      <c r="H414" s="5">
        <f t="shared" si="25"/>
        <v>5.7401620370370363</v>
      </c>
      <c r="I414" s="5">
        <f t="shared" si="26"/>
        <v>7.1525717623595231</v>
      </c>
    </row>
    <row r="415" spans="1:9" x14ac:dyDescent="0.25">
      <c r="A415" t="s">
        <v>81</v>
      </c>
      <c r="B415" t="s">
        <v>160</v>
      </c>
      <c r="C415">
        <v>0.8</v>
      </c>
      <c r="D415">
        <v>30</v>
      </c>
      <c r="E415" s="5">
        <v>0.53954999999999997</v>
      </c>
      <c r="F415" s="5">
        <v>29.260800000000003</v>
      </c>
      <c r="G415" s="5">
        <f t="shared" si="24"/>
        <v>7.3288609085708032</v>
      </c>
      <c r="H415" s="5">
        <f t="shared" si="25"/>
        <v>6.2447916666666661</v>
      </c>
      <c r="I415" s="5">
        <f t="shared" si="26"/>
        <v>7.3619899017188102</v>
      </c>
    </row>
    <row r="416" spans="1:9" x14ac:dyDescent="0.25">
      <c r="A416" t="s">
        <v>81</v>
      </c>
      <c r="B416" t="s">
        <v>161</v>
      </c>
      <c r="C416">
        <v>0.8</v>
      </c>
      <c r="D416">
        <v>35</v>
      </c>
      <c r="E416" s="5">
        <v>0.57769999999999999</v>
      </c>
      <c r="F416" s="5">
        <v>31.699200000000001</v>
      </c>
      <c r="G416" s="5">
        <f t="shared" si="24"/>
        <v>7.9638823614806498</v>
      </c>
      <c r="H416" s="5">
        <f t="shared" si="25"/>
        <v>6.6863425925925926</v>
      </c>
      <c r="I416" s="5">
        <f t="shared" si="26"/>
        <v>7.25399966722504</v>
      </c>
    </row>
    <row r="417" spans="1:9" x14ac:dyDescent="0.25">
      <c r="A417" t="s">
        <v>81</v>
      </c>
      <c r="B417" t="s">
        <v>162</v>
      </c>
      <c r="C417">
        <v>0.8</v>
      </c>
      <c r="D417">
        <v>40</v>
      </c>
      <c r="E417" s="5">
        <v>0.61040000000000005</v>
      </c>
      <c r="F417" s="5">
        <v>33.832799999999999</v>
      </c>
      <c r="G417" s="5">
        <f t="shared" si="24"/>
        <v>8.5225906996103404</v>
      </c>
      <c r="H417" s="5">
        <f t="shared" si="25"/>
        <v>7.0648148148148149</v>
      </c>
      <c r="I417" s="5">
        <f t="shared" si="26"/>
        <v>7.162141436968315</v>
      </c>
    </row>
    <row r="418" spans="1:9" x14ac:dyDescent="0.25">
      <c r="A418" t="s">
        <v>81</v>
      </c>
      <c r="B418" t="s">
        <v>163</v>
      </c>
      <c r="C418">
        <v>0.8</v>
      </c>
      <c r="D418">
        <v>50</v>
      </c>
      <c r="E418" s="5">
        <v>0.67035</v>
      </c>
      <c r="F418" s="5">
        <v>36.2712</v>
      </c>
      <c r="G418" s="5">
        <f t="shared" si="24"/>
        <v>9.1646168767112357</v>
      </c>
      <c r="H418" s="5">
        <f t="shared" si="25"/>
        <v>7.7586805555555554</v>
      </c>
      <c r="I418" s="5">
        <f t="shared" si="26"/>
        <v>7.3145447214871258</v>
      </c>
    </row>
    <row r="419" spans="1:9" x14ac:dyDescent="0.25">
      <c r="A419" t="s">
        <v>81</v>
      </c>
      <c r="B419" t="s">
        <v>164</v>
      </c>
      <c r="C419">
        <v>0.8</v>
      </c>
      <c r="D419">
        <v>60</v>
      </c>
      <c r="E419" s="5">
        <v>0.74119999999999997</v>
      </c>
      <c r="F419" s="5">
        <v>38.709600000000002</v>
      </c>
      <c r="G419" s="5">
        <f t="shared" si="24"/>
        <v>9.8103789067140283</v>
      </c>
      <c r="H419" s="5">
        <f t="shared" si="25"/>
        <v>8.5787037037037024</v>
      </c>
      <c r="I419" s="5">
        <f t="shared" si="26"/>
        <v>7.5552637369871345</v>
      </c>
    </row>
    <row r="420" spans="1:9" x14ac:dyDescent="0.25">
      <c r="A420" t="s">
        <v>81</v>
      </c>
      <c r="B420" t="s">
        <v>165</v>
      </c>
      <c r="C420">
        <v>0.8</v>
      </c>
      <c r="D420">
        <v>70</v>
      </c>
      <c r="E420" s="5">
        <v>0.80115000000000003</v>
      </c>
      <c r="F420" s="5">
        <v>41.148000000000003</v>
      </c>
      <c r="G420" s="5">
        <f t="shared" si="24"/>
        <v>10.459876789618697</v>
      </c>
      <c r="H420" s="5">
        <f t="shared" si="25"/>
        <v>9.2725694444444446</v>
      </c>
      <c r="I420" s="5">
        <f t="shared" si="26"/>
        <v>7.659268040280665</v>
      </c>
    </row>
    <row r="421" spans="1:9" x14ac:dyDescent="0.25">
      <c r="A421" t="s">
        <v>81</v>
      </c>
      <c r="B421" t="s">
        <v>166</v>
      </c>
      <c r="C421">
        <v>0.8</v>
      </c>
      <c r="D421">
        <v>80</v>
      </c>
      <c r="E421" s="5">
        <v>0.86109999999999998</v>
      </c>
      <c r="F421" s="5">
        <v>43.281600000000005</v>
      </c>
      <c r="G421" s="5">
        <f t="shared" si="24"/>
        <v>11.031252003993885</v>
      </c>
      <c r="H421" s="5">
        <f t="shared" si="25"/>
        <v>9.9664351851851851</v>
      </c>
      <c r="I421" s="5">
        <f t="shared" si="26"/>
        <v>7.8060042476433056</v>
      </c>
    </row>
    <row r="422" spans="1:9" x14ac:dyDescent="0.25">
      <c r="A422" t="s">
        <v>306</v>
      </c>
      <c r="B422" t="str">
        <f t="shared" ref="B422:B485" si="27">A422&amp;C422&amp;D422</f>
        <v>Twin101Ultra0.4730</v>
      </c>
      <c r="C422">
        <v>0.47</v>
      </c>
      <c r="D422">
        <v>30</v>
      </c>
      <c r="E422" s="5">
        <v>0.19078475391948477</v>
      </c>
      <c r="F422" s="5">
        <v>29.4132</v>
      </c>
      <c r="G422" s="5">
        <f t="shared" si="24"/>
        <v>7.3684403005621846</v>
      </c>
      <c r="H422" s="5">
        <f t="shared" si="25"/>
        <v>2.2081568740681106</v>
      </c>
      <c r="I422" s="5">
        <f t="shared" si="26"/>
        <v>2.5892148967391186</v>
      </c>
    </row>
    <row r="423" spans="1:9" x14ac:dyDescent="0.25">
      <c r="A423" t="s">
        <v>306</v>
      </c>
      <c r="B423" t="str">
        <f t="shared" si="27"/>
        <v>Twin101Ultra0.4740</v>
      </c>
      <c r="C423">
        <v>0.47</v>
      </c>
      <c r="D423">
        <v>40</v>
      </c>
      <c r="E423" s="5">
        <v>0.21803971876512546</v>
      </c>
      <c r="F423" s="5">
        <v>31.394400000000001</v>
      </c>
      <c r="G423" s="5">
        <f t="shared" si="24"/>
        <v>7.8843003754113425</v>
      </c>
      <c r="H423" s="5">
        <f t="shared" si="25"/>
        <v>2.5236078560778408</v>
      </c>
      <c r="I423" s="5">
        <f t="shared" si="26"/>
        <v>2.7654922869900145</v>
      </c>
    </row>
    <row r="424" spans="1:9" x14ac:dyDescent="0.25">
      <c r="A424" t="s">
        <v>306</v>
      </c>
      <c r="B424" t="str">
        <f t="shared" si="27"/>
        <v>Twin101Ultra0.4750</v>
      </c>
      <c r="C424">
        <v>0.47</v>
      </c>
      <c r="D424">
        <v>50</v>
      </c>
      <c r="E424" s="5">
        <v>0.24529468361076612</v>
      </c>
      <c r="F424" s="5">
        <v>32.461200000000005</v>
      </c>
      <c r="G424" s="5">
        <f t="shared" si="24"/>
        <v>8.1630927072233703</v>
      </c>
      <c r="H424" s="5">
        <f t="shared" si="25"/>
        <v>2.8390588380875705</v>
      </c>
      <c r="I424" s="5">
        <f t="shared" si="26"/>
        <v>3.0049234084247183</v>
      </c>
    </row>
    <row r="425" spans="1:9" x14ac:dyDescent="0.25">
      <c r="A425" t="s">
        <v>306</v>
      </c>
      <c r="B425" t="str">
        <f t="shared" si="27"/>
        <v>Twin101Ultra0.4760</v>
      </c>
      <c r="C425">
        <v>0.47</v>
      </c>
      <c r="D425">
        <v>60</v>
      </c>
      <c r="E425" s="5">
        <v>0.27254964845640683</v>
      </c>
      <c r="F425" s="5">
        <v>33.375599999999999</v>
      </c>
      <c r="G425" s="5">
        <f t="shared" si="24"/>
        <v>8.4026266969027787</v>
      </c>
      <c r="H425" s="5">
        <f t="shared" si="25"/>
        <v>3.1545098200973012</v>
      </c>
      <c r="I425" s="5">
        <f t="shared" si="26"/>
        <v>3.2436243842281969</v>
      </c>
    </row>
    <row r="426" spans="1:9" x14ac:dyDescent="0.25">
      <c r="A426" t="s">
        <v>306</v>
      </c>
      <c r="B426" t="str">
        <f t="shared" si="27"/>
        <v>Twin101Ultra0.4770</v>
      </c>
      <c r="C426">
        <v>0.47</v>
      </c>
      <c r="D426">
        <v>70</v>
      </c>
      <c r="E426" s="5">
        <v>0.2943536203329194</v>
      </c>
      <c r="F426" s="5">
        <v>34.8996</v>
      </c>
      <c r="G426" s="5">
        <f t="shared" si="24"/>
        <v>8.8030174670669581</v>
      </c>
      <c r="H426" s="5">
        <f t="shared" si="25"/>
        <v>3.4068706057050853</v>
      </c>
      <c r="I426" s="5">
        <f t="shared" si="26"/>
        <v>3.3437809414116031</v>
      </c>
    </row>
    <row r="427" spans="1:9" x14ac:dyDescent="0.25">
      <c r="A427" t="s">
        <v>306</v>
      </c>
      <c r="B427" t="str">
        <f t="shared" si="27"/>
        <v>Twin101Ultra0.4780</v>
      </c>
      <c r="C427">
        <v>0.47</v>
      </c>
      <c r="D427">
        <v>80</v>
      </c>
      <c r="E427" s="5">
        <v>0.3107065992403038</v>
      </c>
      <c r="F427" s="5">
        <v>35.814</v>
      </c>
      <c r="G427" s="5">
        <f t="shared" si="24"/>
        <v>9.0439524015845549</v>
      </c>
      <c r="H427" s="5">
        <f t="shared" si="25"/>
        <v>3.5961411949109237</v>
      </c>
      <c r="I427" s="5">
        <f t="shared" si="26"/>
        <v>3.4355178515298923</v>
      </c>
    </row>
    <row r="428" spans="1:9" x14ac:dyDescent="0.25">
      <c r="A428" t="s">
        <v>306</v>
      </c>
      <c r="B428" t="str">
        <f t="shared" si="27"/>
        <v>Twin101Ultra0.4790</v>
      </c>
      <c r="C428">
        <v>0.47</v>
      </c>
      <c r="D428">
        <v>90</v>
      </c>
      <c r="E428" s="5">
        <v>0.33251057111681637</v>
      </c>
      <c r="F428" s="5">
        <v>37.033200000000001</v>
      </c>
      <c r="G428" s="5">
        <f t="shared" si="24"/>
        <v>9.366016198763667</v>
      </c>
      <c r="H428" s="5">
        <f t="shared" si="25"/>
        <v>3.8485019805187077</v>
      </c>
      <c r="I428" s="5">
        <f t="shared" si="26"/>
        <v>3.5501814652072508</v>
      </c>
    </row>
    <row r="429" spans="1:9" x14ac:dyDescent="0.25">
      <c r="A429" t="s">
        <v>306</v>
      </c>
      <c r="B429" t="str">
        <f t="shared" si="27"/>
        <v>Twin101Ultra0.47100</v>
      </c>
      <c r="C429">
        <v>0.47</v>
      </c>
      <c r="D429">
        <v>100</v>
      </c>
      <c r="E429" s="5">
        <v>0.34886355002420072</v>
      </c>
      <c r="F429" s="5">
        <v>38.1</v>
      </c>
      <c r="G429" s="5">
        <f t="shared" si="24"/>
        <v>9.6485881630037866</v>
      </c>
      <c r="H429" s="5">
        <f t="shared" si="25"/>
        <v>4.0377725697245452</v>
      </c>
      <c r="I429" s="5">
        <f t="shared" si="26"/>
        <v>3.6156953134539522</v>
      </c>
    </row>
    <row r="430" spans="1:9" x14ac:dyDescent="0.25">
      <c r="A430" t="s">
        <v>306</v>
      </c>
      <c r="B430" t="str">
        <f t="shared" si="27"/>
        <v>Twin101Ultra0.47110</v>
      </c>
      <c r="C430">
        <v>0.47</v>
      </c>
      <c r="D430">
        <v>110</v>
      </c>
      <c r="E430" s="5">
        <v>0.36521652893158513</v>
      </c>
      <c r="F430" s="5">
        <v>39.014400000000002</v>
      </c>
      <c r="G430" s="5">
        <f t="shared" si="24"/>
        <v>9.8913618376215311</v>
      </c>
      <c r="H430" s="5">
        <f t="shared" si="25"/>
        <v>4.2270431589303836</v>
      </c>
      <c r="I430" s="5">
        <f t="shared" si="26"/>
        <v>3.692277513724084</v>
      </c>
    </row>
    <row r="431" spans="1:9" x14ac:dyDescent="0.25">
      <c r="A431" t="s">
        <v>306</v>
      </c>
      <c r="B431" t="str">
        <f t="shared" si="27"/>
        <v>Twin101Ultra0.5530</v>
      </c>
      <c r="C431">
        <v>0.55000000000000004</v>
      </c>
      <c r="D431">
        <v>30</v>
      </c>
      <c r="E431" s="5">
        <v>0.26164766251815053</v>
      </c>
      <c r="F431" s="5">
        <v>29.718</v>
      </c>
      <c r="G431" s="5">
        <f t="shared" si="24"/>
        <v>7.4476428640711347</v>
      </c>
      <c r="H431" s="5">
        <f t="shared" si="25"/>
        <v>3.0283294272934085</v>
      </c>
      <c r="I431" s="5">
        <f t="shared" si="26"/>
        <v>3.5131607045819733</v>
      </c>
    </row>
    <row r="432" spans="1:9" x14ac:dyDescent="0.25">
      <c r="A432" t="s">
        <v>306</v>
      </c>
      <c r="B432" t="str">
        <f t="shared" si="27"/>
        <v>Twin101Ultra0.5540</v>
      </c>
      <c r="C432">
        <v>0.55000000000000004</v>
      </c>
      <c r="D432">
        <v>40</v>
      </c>
      <c r="E432" s="5">
        <v>0.2998046133020475</v>
      </c>
      <c r="F432" s="5">
        <v>32.461200000000005</v>
      </c>
      <c r="G432" s="5">
        <f t="shared" si="24"/>
        <v>8.1630927072233703</v>
      </c>
      <c r="H432" s="5">
        <f t="shared" si="25"/>
        <v>3.469960802107031</v>
      </c>
      <c r="I432" s="5">
        <f t="shared" si="26"/>
        <v>3.6726841658524334</v>
      </c>
    </row>
    <row r="433" spans="1:9" x14ac:dyDescent="0.25">
      <c r="A433" t="s">
        <v>306</v>
      </c>
      <c r="B433" t="str">
        <f t="shared" si="27"/>
        <v>Twin101Ultra0.5550</v>
      </c>
      <c r="C433">
        <v>0.55000000000000004</v>
      </c>
      <c r="D433">
        <v>50</v>
      </c>
      <c r="E433" s="5">
        <v>0.33796156408594441</v>
      </c>
      <c r="F433" s="5">
        <v>34.137599999999999</v>
      </c>
      <c r="G433" s="5">
        <f t="shared" si="24"/>
        <v>8.6026396672923866</v>
      </c>
      <c r="H433" s="5">
        <f t="shared" si="25"/>
        <v>3.9115921769206525</v>
      </c>
      <c r="I433" s="5">
        <f t="shared" si="26"/>
        <v>3.9285797982552855</v>
      </c>
    </row>
    <row r="434" spans="1:9" x14ac:dyDescent="0.25">
      <c r="A434" t="s">
        <v>306</v>
      </c>
      <c r="B434" t="str">
        <f t="shared" si="27"/>
        <v>Twin101Ultra0.5560</v>
      </c>
      <c r="C434">
        <v>0.55000000000000004</v>
      </c>
      <c r="D434">
        <v>60</v>
      </c>
      <c r="E434" s="5">
        <v>0.36521652893158513</v>
      </c>
      <c r="F434" s="5">
        <v>35.5092</v>
      </c>
      <c r="G434" s="5">
        <f t="shared" si="24"/>
        <v>8.9635823840437681</v>
      </c>
      <c r="H434" s="5">
        <f t="shared" si="25"/>
        <v>4.2270431589303836</v>
      </c>
      <c r="I434" s="5">
        <f t="shared" si="26"/>
        <v>4.0744482873467369</v>
      </c>
    </row>
    <row r="435" spans="1:9" x14ac:dyDescent="0.25">
      <c r="A435" t="s">
        <v>306</v>
      </c>
      <c r="B435" t="str">
        <f t="shared" si="27"/>
        <v>Twin101Ultra0.5570</v>
      </c>
      <c r="C435">
        <v>0.55000000000000004</v>
      </c>
      <c r="D435">
        <v>70</v>
      </c>
      <c r="E435" s="5">
        <v>0.39792248674635394</v>
      </c>
      <c r="F435" s="5">
        <v>36.880800000000001</v>
      </c>
      <c r="G435" s="5">
        <f t="shared" si="24"/>
        <v>9.3257071480023868</v>
      </c>
      <c r="H435" s="5">
        <f t="shared" si="25"/>
        <v>4.6055843373420595</v>
      </c>
      <c r="I435" s="5">
        <f t="shared" si="26"/>
        <v>4.2669416960148805</v>
      </c>
    </row>
    <row r="436" spans="1:9" x14ac:dyDescent="0.25">
      <c r="A436" t="s">
        <v>306</v>
      </c>
      <c r="B436" t="str">
        <f t="shared" si="27"/>
        <v>Twin101Ultra0.5580</v>
      </c>
      <c r="C436">
        <v>0.55000000000000004</v>
      </c>
      <c r="D436">
        <v>80</v>
      </c>
      <c r="E436" s="5">
        <v>0.42517745159199466</v>
      </c>
      <c r="F436" s="5">
        <v>38.404800000000002</v>
      </c>
      <c r="G436" s="5">
        <f t="shared" si="24"/>
        <v>9.7294543485080993</v>
      </c>
      <c r="H436" s="5">
        <f t="shared" si="25"/>
        <v>4.9210353193517902</v>
      </c>
      <c r="I436" s="5">
        <f t="shared" si="26"/>
        <v>4.3700030480865637</v>
      </c>
    </row>
    <row r="437" spans="1:9" x14ac:dyDescent="0.25">
      <c r="A437" t="s">
        <v>306</v>
      </c>
      <c r="B437" t="str">
        <f t="shared" si="27"/>
        <v>Twin101Ultra0.5590</v>
      </c>
      <c r="C437">
        <v>0.55000000000000004</v>
      </c>
      <c r="D437">
        <v>90</v>
      </c>
      <c r="E437" s="5">
        <v>0.45243241643763532</v>
      </c>
      <c r="F437" s="5">
        <v>39.928800000000003</v>
      </c>
      <c r="G437" s="5">
        <f t="shared" si="24"/>
        <v>10.134660866553624</v>
      </c>
      <c r="H437" s="5">
        <f t="shared" si="25"/>
        <v>5.2364863013615199</v>
      </c>
      <c r="I437" s="5">
        <f t="shared" si="26"/>
        <v>4.4642087426008636</v>
      </c>
    </row>
    <row r="438" spans="1:9" x14ac:dyDescent="0.25">
      <c r="A438" t="s">
        <v>306</v>
      </c>
      <c r="B438" t="str">
        <f t="shared" si="27"/>
        <v>Twin101Ultra0.55100</v>
      </c>
      <c r="C438">
        <v>0.55000000000000004</v>
      </c>
      <c r="D438">
        <v>100</v>
      </c>
      <c r="E438" s="5">
        <v>0.47423638831414783</v>
      </c>
      <c r="F438" s="5">
        <v>40.995600000000003</v>
      </c>
      <c r="G438" s="5">
        <f t="shared" si="24"/>
        <v>10.419173723121673</v>
      </c>
      <c r="H438" s="5">
        <f t="shared" si="25"/>
        <v>5.4888470869693036</v>
      </c>
      <c r="I438" s="5">
        <f t="shared" si="26"/>
        <v>4.5515738667620811</v>
      </c>
    </row>
    <row r="439" spans="1:9" x14ac:dyDescent="0.25">
      <c r="A439" t="s">
        <v>306</v>
      </c>
      <c r="B439" t="str">
        <f t="shared" si="27"/>
        <v>Twin101Ultra0.55110</v>
      </c>
      <c r="C439">
        <v>0.55000000000000004</v>
      </c>
      <c r="D439">
        <v>110</v>
      </c>
      <c r="E439" s="5">
        <v>0.49604036019066039</v>
      </c>
      <c r="F439" s="5">
        <v>42.062400000000004</v>
      </c>
      <c r="G439" s="5">
        <f t="shared" si="24"/>
        <v>10.704401645284221</v>
      </c>
      <c r="H439" s="5">
        <f t="shared" si="25"/>
        <v>5.7412078725770872</v>
      </c>
      <c r="I439" s="5">
        <f t="shared" si="26"/>
        <v>4.6339849402903237</v>
      </c>
    </row>
    <row r="440" spans="1:9" x14ac:dyDescent="0.25">
      <c r="A440" t="s">
        <v>306</v>
      </c>
      <c r="B440" t="str">
        <f t="shared" si="27"/>
        <v>Twin101Ultra0.6330</v>
      </c>
      <c r="C440">
        <v>0.63</v>
      </c>
      <c r="D440">
        <v>30</v>
      </c>
      <c r="E440" s="5">
        <v>0.33796156408594441</v>
      </c>
      <c r="F440" s="5">
        <v>30.0228</v>
      </c>
      <c r="G440" s="5">
        <f t="shared" si="24"/>
        <v>7.5269038002816657</v>
      </c>
      <c r="H440" s="5">
        <f t="shared" si="25"/>
        <v>3.9115921769206525</v>
      </c>
      <c r="I440" s="5">
        <f t="shared" si="26"/>
        <v>4.4900476085970098</v>
      </c>
    </row>
    <row r="441" spans="1:9" x14ac:dyDescent="0.25">
      <c r="A441" t="s">
        <v>306</v>
      </c>
      <c r="B441" t="str">
        <f t="shared" si="27"/>
        <v>Twin101Ultra0.6340</v>
      </c>
      <c r="C441">
        <v>0.63</v>
      </c>
      <c r="D441">
        <v>40</v>
      </c>
      <c r="E441" s="5">
        <v>0.38702050080809769</v>
      </c>
      <c r="F441" s="5">
        <v>33.527999999999999</v>
      </c>
      <c r="G441" s="5">
        <f t="shared" si="24"/>
        <v>8.4426001046298964</v>
      </c>
      <c r="H441" s="5">
        <f t="shared" si="25"/>
        <v>4.4794039445381673</v>
      </c>
      <c r="I441" s="5">
        <f t="shared" si="26"/>
        <v>4.5841387251761079</v>
      </c>
    </row>
    <row r="442" spans="1:9" x14ac:dyDescent="0.25">
      <c r="A442" t="s">
        <v>306</v>
      </c>
      <c r="B442" t="str">
        <f t="shared" si="27"/>
        <v>Twin101Ultra0.6350</v>
      </c>
      <c r="C442">
        <v>0.63</v>
      </c>
      <c r="D442">
        <v>50</v>
      </c>
      <c r="E442" s="5">
        <v>0.43607943753025091</v>
      </c>
      <c r="F442" s="5">
        <v>35.814</v>
      </c>
      <c r="G442" s="5">
        <f t="shared" si="24"/>
        <v>9.0439524015845549</v>
      </c>
      <c r="H442" s="5">
        <f t="shared" si="25"/>
        <v>5.0472157121556815</v>
      </c>
      <c r="I442" s="5">
        <f t="shared" si="26"/>
        <v>4.8217794407437076</v>
      </c>
    </row>
    <row r="443" spans="1:9" x14ac:dyDescent="0.25">
      <c r="A443" t="s">
        <v>306</v>
      </c>
      <c r="B443" t="str">
        <f t="shared" si="27"/>
        <v>Twin101Ultra0.6360</v>
      </c>
      <c r="C443">
        <v>0.63</v>
      </c>
      <c r="D443">
        <v>60</v>
      </c>
      <c r="E443" s="5">
        <v>0.47423638831414783</v>
      </c>
      <c r="F443" s="5">
        <v>37.642800000000001</v>
      </c>
      <c r="G443" s="5">
        <f t="shared" si="24"/>
        <v>9.5273983335627648</v>
      </c>
      <c r="H443" s="5">
        <f t="shared" si="25"/>
        <v>5.4888470869693036</v>
      </c>
      <c r="I443" s="5">
        <f t="shared" si="26"/>
        <v>4.9776063906504833</v>
      </c>
    </row>
    <row r="444" spans="1:9" x14ac:dyDescent="0.25">
      <c r="A444" t="s">
        <v>306</v>
      </c>
      <c r="B444" t="str">
        <f t="shared" si="27"/>
        <v>Twin101Ultra0.6370</v>
      </c>
      <c r="C444">
        <v>0.63</v>
      </c>
      <c r="D444">
        <v>70</v>
      </c>
      <c r="E444" s="5">
        <v>0.51239333909804485</v>
      </c>
      <c r="F444" s="5">
        <v>39.319200000000002</v>
      </c>
      <c r="G444" s="5">
        <f t="shared" si="24"/>
        <v>9.9724031412306431</v>
      </c>
      <c r="H444" s="5">
        <f t="shared" si="25"/>
        <v>5.9304784617829265</v>
      </c>
      <c r="I444" s="5">
        <f t="shared" si="26"/>
        <v>5.1381129687744753</v>
      </c>
    </row>
    <row r="445" spans="1:9" x14ac:dyDescent="0.25">
      <c r="A445" t="s">
        <v>306</v>
      </c>
      <c r="B445" t="str">
        <f t="shared" si="27"/>
        <v>Twin101Ultra0.6380</v>
      </c>
      <c r="C445">
        <v>0.63</v>
      </c>
      <c r="D445">
        <v>80</v>
      </c>
      <c r="E445" s="5">
        <v>0.55055028988194177</v>
      </c>
      <c r="F445" s="5">
        <v>41.148000000000003</v>
      </c>
      <c r="G445" s="5">
        <f t="shared" si="24"/>
        <v>10.459876789618697</v>
      </c>
      <c r="H445" s="5">
        <f t="shared" si="25"/>
        <v>6.3721098365965476</v>
      </c>
      <c r="I445" s="5">
        <f t="shared" si="26"/>
        <v>5.2634490917556152</v>
      </c>
    </row>
    <row r="446" spans="1:9" x14ac:dyDescent="0.25">
      <c r="A446" t="s">
        <v>306</v>
      </c>
      <c r="B446" t="str">
        <f t="shared" si="27"/>
        <v>Twin101Ultra0.6390</v>
      </c>
      <c r="C446">
        <v>0.63</v>
      </c>
      <c r="D446">
        <v>90</v>
      </c>
      <c r="E446" s="5">
        <v>0.58325624769671058</v>
      </c>
      <c r="F446" s="5">
        <v>42.824400000000004</v>
      </c>
      <c r="G446" s="5">
        <f t="shared" si="24"/>
        <v>10.908573670662264</v>
      </c>
      <c r="H446" s="5">
        <f t="shared" si="25"/>
        <v>6.7506510150082244</v>
      </c>
      <c r="I446" s="5">
        <f t="shared" si="26"/>
        <v>5.3467691130448305</v>
      </c>
    </row>
    <row r="447" spans="1:9" x14ac:dyDescent="0.25">
      <c r="A447" t="s">
        <v>306</v>
      </c>
      <c r="B447" t="str">
        <f t="shared" si="27"/>
        <v>Twin101Ultra0.63100</v>
      </c>
      <c r="C447">
        <v>0.63</v>
      </c>
      <c r="D447">
        <v>100</v>
      </c>
      <c r="E447" s="5">
        <v>0.6159622055114794</v>
      </c>
      <c r="F447" s="5">
        <v>44.043600000000005</v>
      </c>
      <c r="G447" s="5">
        <f t="shared" si="24"/>
        <v>11.236007756387835</v>
      </c>
      <c r="H447" s="5">
        <f t="shared" si="25"/>
        <v>7.1291921934199003</v>
      </c>
      <c r="I447" s="5">
        <f t="shared" si="26"/>
        <v>5.4820379165482143</v>
      </c>
    </row>
    <row r="448" spans="1:9" x14ac:dyDescent="0.25">
      <c r="A448" t="s">
        <v>306</v>
      </c>
      <c r="B448" t="str">
        <f t="shared" si="27"/>
        <v>Twin101Ultra0.63110</v>
      </c>
      <c r="C448">
        <v>0.63</v>
      </c>
      <c r="D448">
        <v>110</v>
      </c>
      <c r="E448" s="5">
        <v>0.64321717035712012</v>
      </c>
      <c r="F448" s="5">
        <v>44.958000000000006</v>
      </c>
      <c r="G448" s="5">
        <f t="shared" si="24"/>
        <v>11.482196234048736</v>
      </c>
      <c r="H448" s="5">
        <f t="shared" si="25"/>
        <v>7.4446431754296309</v>
      </c>
      <c r="I448" s="5">
        <f t="shared" si="26"/>
        <v>5.6018653334782398</v>
      </c>
    </row>
    <row r="449" spans="1:9" x14ac:dyDescent="0.25">
      <c r="A449" t="s">
        <v>306</v>
      </c>
      <c r="B449" t="str">
        <f t="shared" si="27"/>
        <v>Twin101Ultra0.7130</v>
      </c>
      <c r="C449">
        <v>0.71</v>
      </c>
      <c r="D449">
        <v>30</v>
      </c>
      <c r="E449" s="5">
        <v>0.42517745159199466</v>
      </c>
      <c r="F449" s="5">
        <v>30.3276</v>
      </c>
      <c r="G449" s="5">
        <f t="shared" si="24"/>
        <v>7.6062231091938202</v>
      </c>
      <c r="H449" s="5">
        <f t="shared" si="25"/>
        <v>4.9210353193517902</v>
      </c>
      <c r="I449" s="5">
        <f t="shared" si="26"/>
        <v>5.5898630041245134</v>
      </c>
    </row>
    <row r="450" spans="1:9" x14ac:dyDescent="0.25">
      <c r="A450" t="s">
        <v>306</v>
      </c>
      <c r="B450" t="str">
        <f t="shared" si="27"/>
        <v>Twin101Ultra0.7140</v>
      </c>
      <c r="C450">
        <v>0.71</v>
      </c>
      <c r="D450">
        <v>40</v>
      </c>
      <c r="E450" s="5">
        <v>0.49058936722153224</v>
      </c>
      <c r="F450" s="5">
        <v>34.747199999999999</v>
      </c>
      <c r="G450" s="5">
        <f t="shared" si="24"/>
        <v>8.7629127207612498</v>
      </c>
      <c r="H450" s="5">
        <f t="shared" si="25"/>
        <v>5.6781176761751411</v>
      </c>
      <c r="I450" s="5">
        <f t="shared" si="26"/>
        <v>5.5984737364691437</v>
      </c>
    </row>
    <row r="451" spans="1:9" x14ac:dyDescent="0.25">
      <c r="A451" t="s">
        <v>306</v>
      </c>
      <c r="B451" t="str">
        <f t="shared" si="27"/>
        <v>Twin101Ultra0.7150</v>
      </c>
      <c r="C451">
        <v>0.71</v>
      </c>
      <c r="D451">
        <v>50</v>
      </c>
      <c r="E451" s="5">
        <v>0.55055028988194177</v>
      </c>
      <c r="F451" s="5">
        <v>37.642800000000001</v>
      </c>
      <c r="G451" s="5">
        <f t="shared" ref="G451:G514" si="28">(PI()*(G$1+F451)^2)/10000-((PI()*(G$1)^2)/10000)</f>
        <v>9.5273983335627648</v>
      </c>
      <c r="H451" s="5">
        <f t="shared" ref="H451:H514" si="29">E451/0.0864</f>
        <v>6.3721098365965476</v>
      </c>
      <c r="I451" s="5">
        <f t="shared" ref="I451:I514" si="30">E451/G451*100</f>
        <v>5.7786005224792971</v>
      </c>
    </row>
    <row r="452" spans="1:9" x14ac:dyDescent="0.25">
      <c r="A452" t="s">
        <v>306</v>
      </c>
      <c r="B452" t="str">
        <f t="shared" si="27"/>
        <v>Twin101Ultra0.7160</v>
      </c>
      <c r="C452">
        <v>0.71</v>
      </c>
      <c r="D452">
        <v>60</v>
      </c>
      <c r="E452" s="5">
        <v>0.6050602195732232</v>
      </c>
      <c r="F452" s="5">
        <v>39.928800000000003</v>
      </c>
      <c r="G452" s="5">
        <f t="shared" si="28"/>
        <v>10.134660866553624</v>
      </c>
      <c r="H452" s="5">
        <f t="shared" si="29"/>
        <v>7.0030118006160089</v>
      </c>
      <c r="I452" s="5">
        <f t="shared" si="30"/>
        <v>5.9702068726348907</v>
      </c>
    </row>
    <row r="453" spans="1:9" x14ac:dyDescent="0.25">
      <c r="A453" t="s">
        <v>306</v>
      </c>
      <c r="B453" t="str">
        <f t="shared" si="27"/>
        <v>Twin101Ultra0.7170</v>
      </c>
      <c r="C453">
        <v>0.71</v>
      </c>
      <c r="D453">
        <v>70</v>
      </c>
      <c r="E453" s="5">
        <v>0.64866816332624821</v>
      </c>
      <c r="F453" s="5">
        <v>41.910000000000004</v>
      </c>
      <c r="G453" s="5">
        <f t="shared" si="28"/>
        <v>10.663611019734802</v>
      </c>
      <c r="H453" s="5">
        <f t="shared" si="29"/>
        <v>7.5077333718315762</v>
      </c>
      <c r="I453" s="5">
        <f t="shared" si="30"/>
        <v>6.0830066112293375</v>
      </c>
    </row>
    <row r="454" spans="1:9" x14ac:dyDescent="0.25">
      <c r="A454" t="s">
        <v>306</v>
      </c>
      <c r="B454" t="str">
        <f t="shared" si="27"/>
        <v>Twin101Ultra0.7180</v>
      </c>
      <c r="C454">
        <v>0.71</v>
      </c>
      <c r="D454">
        <v>80</v>
      </c>
      <c r="E454" s="5">
        <v>0.69772710004840144</v>
      </c>
      <c r="F454" s="5">
        <v>43.738800000000005</v>
      </c>
      <c r="G454" s="5">
        <f t="shared" si="28"/>
        <v>11.15406167590406</v>
      </c>
      <c r="H454" s="5">
        <f t="shared" si="29"/>
        <v>8.0755451394490905</v>
      </c>
      <c r="I454" s="5">
        <f t="shared" si="30"/>
        <v>6.2553634749545086</v>
      </c>
    </row>
    <row r="455" spans="1:9" x14ac:dyDescent="0.25">
      <c r="A455" t="s">
        <v>306</v>
      </c>
      <c r="B455" t="str">
        <f t="shared" si="27"/>
        <v>Twin101Ultra0.7190</v>
      </c>
      <c r="C455">
        <v>0.71</v>
      </c>
      <c r="D455">
        <v>90</v>
      </c>
      <c r="E455" s="5">
        <v>0.73588405083229835</v>
      </c>
      <c r="F455" s="5">
        <v>45.567599999999999</v>
      </c>
      <c r="G455" s="5">
        <f t="shared" si="28"/>
        <v>11.646613749330612</v>
      </c>
      <c r="H455" s="5">
        <f t="shared" si="29"/>
        <v>8.5171765142627116</v>
      </c>
      <c r="I455" s="5">
        <f t="shared" si="30"/>
        <v>6.3184378452886634</v>
      </c>
    </row>
    <row r="456" spans="1:9" x14ac:dyDescent="0.25">
      <c r="A456" t="s">
        <v>306</v>
      </c>
      <c r="B456" t="str">
        <f t="shared" si="27"/>
        <v>Twin101Ultra0.71100</v>
      </c>
      <c r="C456">
        <v>0.71</v>
      </c>
      <c r="D456">
        <v>100</v>
      </c>
      <c r="E456" s="5">
        <v>0.77949199458532348</v>
      </c>
      <c r="F456" s="5">
        <v>46.786799999999999</v>
      </c>
      <c r="G456" s="5">
        <f t="shared" si="28"/>
        <v>11.976149252313498</v>
      </c>
      <c r="H456" s="5">
        <f t="shared" si="29"/>
        <v>9.0218980854782806</v>
      </c>
      <c r="I456" s="5">
        <f t="shared" si="30"/>
        <v>6.5087030744439387</v>
      </c>
    </row>
    <row r="457" spans="1:9" x14ac:dyDescent="0.25">
      <c r="A457" t="s">
        <v>306</v>
      </c>
      <c r="B457" t="str">
        <f t="shared" si="27"/>
        <v>Twin101Ultra0.71110</v>
      </c>
      <c r="C457">
        <v>0.71</v>
      </c>
      <c r="D457">
        <v>110</v>
      </c>
      <c r="E457" s="5">
        <v>0.8176489453692205</v>
      </c>
      <c r="F457" s="5">
        <v>47.7012</v>
      </c>
      <c r="G457" s="5">
        <f t="shared" si="28"/>
        <v>12.223913792917372</v>
      </c>
      <c r="H457" s="5">
        <f t="shared" si="29"/>
        <v>9.4635294602919036</v>
      </c>
      <c r="I457" s="5">
        <f t="shared" si="30"/>
        <v>6.688929251472409</v>
      </c>
    </row>
    <row r="458" spans="1:9" x14ac:dyDescent="0.25">
      <c r="A458" t="s">
        <v>306</v>
      </c>
      <c r="B458" t="str">
        <f t="shared" si="27"/>
        <v>Twin101Ultra0.7930</v>
      </c>
      <c r="C458">
        <v>0.79</v>
      </c>
      <c r="D458">
        <v>30</v>
      </c>
      <c r="E458" s="5">
        <v>0.52874631800542926</v>
      </c>
      <c r="F458" s="5">
        <v>30.632400000000001</v>
      </c>
      <c r="G458" s="5">
        <f t="shared" si="28"/>
        <v>7.6856007908075412</v>
      </c>
      <c r="H458" s="5">
        <f t="shared" si="29"/>
        <v>6.119749050988764</v>
      </c>
      <c r="I458" s="5">
        <f t="shared" si="30"/>
        <v>6.8797005256614794</v>
      </c>
    </row>
    <row r="459" spans="1:9" x14ac:dyDescent="0.25">
      <c r="A459" t="s">
        <v>306</v>
      </c>
      <c r="B459" t="str">
        <f t="shared" si="27"/>
        <v>Twin101Ultra0.7940</v>
      </c>
      <c r="C459">
        <v>0.79</v>
      </c>
      <c r="D459">
        <v>40</v>
      </c>
      <c r="E459" s="5">
        <v>0.6105112125423513</v>
      </c>
      <c r="F459" s="5">
        <v>35.9664</v>
      </c>
      <c r="G459" s="5">
        <f t="shared" si="28"/>
        <v>9.0841593001180527</v>
      </c>
      <c r="H459" s="5">
        <f t="shared" si="29"/>
        <v>7.0661019970179542</v>
      </c>
      <c r="I459" s="5">
        <f t="shared" si="30"/>
        <v>6.7206132386341739</v>
      </c>
    </row>
    <row r="460" spans="1:9" x14ac:dyDescent="0.25">
      <c r="A460" t="s">
        <v>306</v>
      </c>
      <c r="B460" t="str">
        <f t="shared" si="27"/>
        <v>Twin101Ultra0.7950</v>
      </c>
      <c r="C460">
        <v>0.79</v>
      </c>
      <c r="D460">
        <v>50</v>
      </c>
      <c r="E460" s="5">
        <v>0.68137412114101703</v>
      </c>
      <c r="F460" s="5">
        <v>39.471600000000002</v>
      </c>
      <c r="G460" s="5">
        <f t="shared" si="28"/>
        <v>10.012945682798296</v>
      </c>
      <c r="H460" s="5">
        <f t="shared" si="29"/>
        <v>7.8862745502432521</v>
      </c>
      <c r="I460" s="5">
        <f t="shared" si="30"/>
        <v>6.8049317626038981</v>
      </c>
    </row>
    <row r="461" spans="1:9" x14ac:dyDescent="0.25">
      <c r="A461" t="s">
        <v>306</v>
      </c>
      <c r="B461" t="str">
        <f t="shared" si="27"/>
        <v>Twin101Ultra0.7960</v>
      </c>
      <c r="C461">
        <v>0.79</v>
      </c>
      <c r="D461">
        <v>60</v>
      </c>
      <c r="E461" s="5">
        <v>0.74678603677055466</v>
      </c>
      <c r="F461" s="5">
        <v>42.062400000000004</v>
      </c>
      <c r="G461" s="5">
        <f t="shared" si="28"/>
        <v>10.704401645284221</v>
      </c>
      <c r="H461" s="5">
        <f t="shared" si="29"/>
        <v>8.6433569070666039</v>
      </c>
      <c r="I461" s="5">
        <f t="shared" si="30"/>
        <v>6.9764388661513657</v>
      </c>
    </row>
    <row r="462" spans="1:9" x14ac:dyDescent="0.25">
      <c r="A462" t="s">
        <v>306</v>
      </c>
      <c r="B462" t="str">
        <f t="shared" si="27"/>
        <v>Twin101Ultra0.7970</v>
      </c>
      <c r="C462">
        <v>0.79</v>
      </c>
      <c r="D462">
        <v>70</v>
      </c>
      <c r="E462" s="5">
        <v>0.80674695943096419</v>
      </c>
      <c r="F462" s="5">
        <v>44.348400000000005</v>
      </c>
      <c r="G462" s="5">
        <f t="shared" si="28"/>
        <v>11.318012209573212</v>
      </c>
      <c r="H462" s="5">
        <f t="shared" si="29"/>
        <v>9.3373490674880113</v>
      </c>
      <c r="I462" s="5">
        <f t="shared" si="30"/>
        <v>7.1279915986359024</v>
      </c>
    </row>
    <row r="463" spans="1:9" x14ac:dyDescent="0.25">
      <c r="A463" t="s">
        <v>306</v>
      </c>
      <c r="B463" t="str">
        <f t="shared" si="27"/>
        <v>Twin101Ultra0.7980</v>
      </c>
      <c r="C463">
        <v>0.79</v>
      </c>
      <c r="D463">
        <v>80</v>
      </c>
      <c r="E463" s="5">
        <v>0.86125688912224552</v>
      </c>
      <c r="F463" s="5">
        <v>46.481999999999999</v>
      </c>
      <c r="G463" s="5">
        <f t="shared" si="28"/>
        <v>11.893677817515382</v>
      </c>
      <c r="H463" s="5">
        <f t="shared" si="29"/>
        <v>9.9682510315074708</v>
      </c>
      <c r="I463" s="5">
        <f t="shared" si="30"/>
        <v>7.2412999774880751</v>
      </c>
    </row>
    <row r="464" spans="1:9" x14ac:dyDescent="0.25">
      <c r="A464" t="s">
        <v>306</v>
      </c>
      <c r="B464" t="str">
        <f t="shared" si="27"/>
        <v>Twin101Ultra0.7990</v>
      </c>
      <c r="C464">
        <v>0.79</v>
      </c>
      <c r="D464">
        <v>90</v>
      </c>
      <c r="E464" s="5">
        <v>0.91576681881352695</v>
      </c>
      <c r="F464" s="5">
        <v>48.1584</v>
      </c>
      <c r="G464" s="5">
        <f t="shared" si="28"/>
        <v>12.347993071087203</v>
      </c>
      <c r="H464" s="5">
        <f t="shared" si="29"/>
        <v>10.599152995526932</v>
      </c>
      <c r="I464" s="5">
        <f t="shared" si="30"/>
        <v>7.4163211263682429</v>
      </c>
    </row>
    <row r="465" spans="1:9" x14ac:dyDescent="0.25">
      <c r="A465" t="s">
        <v>306</v>
      </c>
      <c r="B465" t="str">
        <f t="shared" si="27"/>
        <v>Twin101Ultra0.79100</v>
      </c>
      <c r="C465">
        <v>0.79</v>
      </c>
      <c r="D465">
        <v>100</v>
      </c>
      <c r="E465" s="5">
        <v>0.96482575553568006</v>
      </c>
      <c r="F465" s="5">
        <v>49.53</v>
      </c>
      <c r="G465" s="5">
        <f t="shared" si="28"/>
        <v>12.721018937068116</v>
      </c>
      <c r="H465" s="5">
        <f t="shared" si="29"/>
        <v>11.166964763144444</v>
      </c>
      <c r="I465" s="5">
        <f t="shared" si="30"/>
        <v>7.5845005837091275</v>
      </c>
    </row>
    <row r="466" spans="1:9" x14ac:dyDescent="0.25">
      <c r="A466" t="s">
        <v>306</v>
      </c>
      <c r="B466" t="str">
        <f t="shared" si="27"/>
        <v>Twin101Ultra0.79110</v>
      </c>
      <c r="C466">
        <v>0.79</v>
      </c>
      <c r="D466">
        <v>110</v>
      </c>
      <c r="E466" s="5">
        <v>1.0138846922578333</v>
      </c>
      <c r="F466" s="5">
        <v>50.596800000000002</v>
      </c>
      <c r="G466" s="5">
        <f t="shared" si="28"/>
        <v>13.011967383986693</v>
      </c>
      <c r="H466" s="5">
        <f t="shared" si="29"/>
        <v>11.734776530761959</v>
      </c>
      <c r="I466" s="5">
        <f t="shared" si="30"/>
        <v>7.7919400067477929</v>
      </c>
    </row>
    <row r="467" spans="1:9" x14ac:dyDescent="0.25">
      <c r="A467" t="s">
        <v>306</v>
      </c>
      <c r="B467" t="str">
        <f t="shared" si="27"/>
        <v>Twin101Ultra0.8730</v>
      </c>
      <c r="C467">
        <v>0.87</v>
      </c>
      <c r="D467">
        <v>30</v>
      </c>
      <c r="E467" s="5">
        <v>0.63776617738799202</v>
      </c>
      <c r="F467" s="5">
        <v>31.089600000000001</v>
      </c>
      <c r="G467" s="5">
        <f t="shared" si="28"/>
        <v>7.8047767620436375</v>
      </c>
      <c r="H467" s="5">
        <f t="shared" si="29"/>
        <v>7.3815529790276848</v>
      </c>
      <c r="I467" s="5">
        <f t="shared" si="30"/>
        <v>8.1714851921145328</v>
      </c>
    </row>
    <row r="468" spans="1:9" x14ac:dyDescent="0.25">
      <c r="A468" t="s">
        <v>306</v>
      </c>
      <c r="B468" t="str">
        <f t="shared" si="27"/>
        <v>Twin101Ultra0.8740</v>
      </c>
      <c r="C468">
        <v>0.87</v>
      </c>
      <c r="D468">
        <v>40</v>
      </c>
      <c r="E468" s="5">
        <v>0.73588405083229835</v>
      </c>
      <c r="F468" s="5">
        <v>37.033200000000001</v>
      </c>
      <c r="G468" s="5">
        <f t="shared" si="28"/>
        <v>9.366016198763667</v>
      </c>
      <c r="H468" s="5">
        <f t="shared" si="29"/>
        <v>8.5171765142627116</v>
      </c>
      <c r="I468" s="5">
        <f t="shared" si="30"/>
        <v>7.8569589803766995</v>
      </c>
    </row>
    <row r="469" spans="1:9" x14ac:dyDescent="0.25">
      <c r="A469" t="s">
        <v>306</v>
      </c>
      <c r="B469" t="str">
        <f t="shared" si="27"/>
        <v>Twin101Ultra0.8750</v>
      </c>
      <c r="C469">
        <v>0.87</v>
      </c>
      <c r="D469">
        <v>50</v>
      </c>
      <c r="E469" s="5">
        <v>0.8230999383383486</v>
      </c>
      <c r="F469" s="5">
        <v>41.148000000000003</v>
      </c>
      <c r="G469" s="5">
        <f t="shared" si="28"/>
        <v>10.459876789618697</v>
      </c>
      <c r="H469" s="5">
        <f t="shared" si="29"/>
        <v>9.5266196566938497</v>
      </c>
      <c r="I469" s="5">
        <f t="shared" si="30"/>
        <v>7.8691169589613672</v>
      </c>
    </row>
    <row r="470" spans="1:9" x14ac:dyDescent="0.25">
      <c r="A470" t="s">
        <v>306</v>
      </c>
      <c r="B470" t="str">
        <f t="shared" si="27"/>
        <v>Twin101Ultra0.8760</v>
      </c>
      <c r="C470">
        <v>0.87</v>
      </c>
      <c r="D470">
        <v>60</v>
      </c>
      <c r="E470" s="5">
        <v>0.89941383990614254</v>
      </c>
      <c r="F470" s="5">
        <v>44.043600000000005</v>
      </c>
      <c r="G470" s="5">
        <f t="shared" si="28"/>
        <v>11.236007756387835</v>
      </c>
      <c r="H470" s="5">
        <f t="shared" si="29"/>
        <v>10.409882406321094</v>
      </c>
      <c r="I470" s="5">
        <f t="shared" si="30"/>
        <v>8.0047456303580127</v>
      </c>
    </row>
    <row r="471" spans="1:9" x14ac:dyDescent="0.25">
      <c r="A471" t="s">
        <v>306</v>
      </c>
      <c r="B471" t="str">
        <f t="shared" si="27"/>
        <v>Twin101Ultra0.8770</v>
      </c>
      <c r="C471">
        <v>0.87</v>
      </c>
      <c r="D471">
        <v>70</v>
      </c>
      <c r="E471" s="5">
        <v>0.97027674850480827</v>
      </c>
      <c r="F471" s="5">
        <v>46.481999999999999</v>
      </c>
      <c r="G471" s="5">
        <f t="shared" si="28"/>
        <v>11.893677817515382</v>
      </c>
      <c r="H471" s="5">
        <f t="shared" si="29"/>
        <v>11.230054959546392</v>
      </c>
      <c r="I471" s="5">
        <f t="shared" si="30"/>
        <v>8.1579202278030216</v>
      </c>
    </row>
    <row r="472" spans="1:9" x14ac:dyDescent="0.25">
      <c r="A472" t="s">
        <v>306</v>
      </c>
      <c r="B472" t="str">
        <f t="shared" si="27"/>
        <v>Twin101Ultra0.8780</v>
      </c>
      <c r="C472">
        <v>0.87</v>
      </c>
      <c r="D472">
        <v>80</v>
      </c>
      <c r="E472" s="5">
        <v>1.0411396571034741</v>
      </c>
      <c r="F472" s="5">
        <v>48.768000000000001</v>
      </c>
      <c r="G472" s="5">
        <f t="shared" si="28"/>
        <v>12.513636413102525</v>
      </c>
      <c r="H472" s="5">
        <f t="shared" si="29"/>
        <v>12.050227512771691</v>
      </c>
      <c r="I472" s="5">
        <f t="shared" si="30"/>
        <v>8.3200408157403292</v>
      </c>
    </row>
    <row r="473" spans="1:9" x14ac:dyDescent="0.25">
      <c r="A473" t="s">
        <v>306</v>
      </c>
      <c r="B473" t="str">
        <f t="shared" si="27"/>
        <v>Twin101Ultra0.8790</v>
      </c>
      <c r="C473">
        <v>0.87</v>
      </c>
      <c r="D473">
        <v>90</v>
      </c>
      <c r="E473" s="5">
        <v>1.1011005797638835</v>
      </c>
      <c r="F473" s="5">
        <v>50.596800000000002</v>
      </c>
      <c r="G473" s="5">
        <f t="shared" si="28"/>
        <v>13.011967383986693</v>
      </c>
      <c r="H473" s="5">
        <f t="shared" si="29"/>
        <v>12.744219673193095</v>
      </c>
      <c r="I473" s="5">
        <f t="shared" si="30"/>
        <v>8.4622144159303989</v>
      </c>
    </row>
    <row r="474" spans="1:9" x14ac:dyDescent="0.25">
      <c r="A474" t="s">
        <v>306</v>
      </c>
      <c r="B474" t="str">
        <f t="shared" si="27"/>
        <v>Twin101Ultra0.87100</v>
      </c>
      <c r="C474">
        <v>0.87</v>
      </c>
      <c r="D474">
        <v>100</v>
      </c>
      <c r="E474" s="5">
        <v>1.161061502424293</v>
      </c>
      <c r="F474" s="5">
        <v>52.120800000000003</v>
      </c>
      <c r="G474" s="5">
        <f t="shared" si="28"/>
        <v>13.428848442350628</v>
      </c>
      <c r="H474" s="5">
        <f t="shared" si="29"/>
        <v>13.438211833614501</v>
      </c>
      <c r="I474" s="5">
        <f t="shared" si="30"/>
        <v>8.6460243215095609</v>
      </c>
    </row>
    <row r="475" spans="1:9" x14ac:dyDescent="0.25">
      <c r="A475" t="s">
        <v>306</v>
      </c>
      <c r="B475" t="str">
        <f t="shared" si="27"/>
        <v>Twin101Ultra0.87110</v>
      </c>
      <c r="C475">
        <v>0.87</v>
      </c>
      <c r="D475">
        <v>110</v>
      </c>
      <c r="E475" s="5">
        <v>1.2210224250847026</v>
      </c>
      <c r="F475" s="5">
        <v>53.34</v>
      </c>
      <c r="G475" s="5">
        <f t="shared" si="28"/>
        <v>13.763403997670423</v>
      </c>
      <c r="H475" s="5">
        <f t="shared" si="29"/>
        <v>14.132203994035908</v>
      </c>
      <c r="I475" s="5">
        <f t="shared" si="30"/>
        <v>8.8715148177832415</v>
      </c>
    </row>
    <row r="476" spans="1:9" x14ac:dyDescent="0.25">
      <c r="A476" t="s">
        <v>306</v>
      </c>
      <c r="B476" t="str">
        <f t="shared" si="27"/>
        <v>Twin101Ultra0.9430</v>
      </c>
      <c r="C476">
        <v>0.94</v>
      </c>
      <c r="D476">
        <v>30</v>
      </c>
      <c r="E476" s="5">
        <v>0.75768802270881097</v>
      </c>
      <c r="F476" s="5">
        <v>31.394400000000001</v>
      </c>
      <c r="G476" s="5">
        <f t="shared" si="28"/>
        <v>7.8843003754113425</v>
      </c>
      <c r="H476" s="5">
        <f t="shared" si="29"/>
        <v>8.7695372998704961</v>
      </c>
      <c r="I476" s="5">
        <f t="shared" si="30"/>
        <v>9.6100856972903017</v>
      </c>
    </row>
    <row r="477" spans="1:9" x14ac:dyDescent="0.25">
      <c r="A477" t="s">
        <v>306</v>
      </c>
      <c r="B477" t="str">
        <f t="shared" si="27"/>
        <v>Twin101Ultra0.9440</v>
      </c>
      <c r="C477">
        <v>0.94</v>
      </c>
      <c r="D477">
        <v>40</v>
      </c>
      <c r="E477" s="5">
        <v>0.87760986802962992</v>
      </c>
      <c r="F477" s="5">
        <v>38.252400000000002</v>
      </c>
      <c r="G477" s="5">
        <f t="shared" si="28"/>
        <v>9.6890139591682427</v>
      </c>
      <c r="H477" s="5">
        <f t="shared" si="29"/>
        <v>10.157521620713309</v>
      </c>
      <c r="I477" s="5">
        <f t="shared" si="30"/>
        <v>9.0577830904990115</v>
      </c>
    </row>
    <row r="478" spans="1:9" x14ac:dyDescent="0.25">
      <c r="A478" t="s">
        <v>306</v>
      </c>
      <c r="B478" t="str">
        <f t="shared" si="27"/>
        <v>Twin101Ultra0.9450</v>
      </c>
      <c r="C478">
        <v>0.94</v>
      </c>
      <c r="D478">
        <v>50</v>
      </c>
      <c r="E478" s="5">
        <v>0.98117873444306447</v>
      </c>
      <c r="F478" s="5">
        <v>42.824400000000004</v>
      </c>
      <c r="G478" s="5">
        <f t="shared" si="28"/>
        <v>10.908573670662264</v>
      </c>
      <c r="H478" s="5">
        <f t="shared" si="29"/>
        <v>11.356235352350282</v>
      </c>
      <c r="I478" s="5">
        <f t="shared" si="30"/>
        <v>8.9945648630660671</v>
      </c>
    </row>
    <row r="479" spans="1:9" x14ac:dyDescent="0.25">
      <c r="A479" t="s">
        <v>306</v>
      </c>
      <c r="B479" t="str">
        <f t="shared" si="27"/>
        <v>Twin101Ultra0.9460</v>
      </c>
      <c r="C479">
        <v>0.94</v>
      </c>
      <c r="D479">
        <v>60</v>
      </c>
      <c r="E479" s="5">
        <v>1.0738456149182429</v>
      </c>
      <c r="F479" s="5">
        <v>46.024799999999999</v>
      </c>
      <c r="G479" s="5">
        <f t="shared" si="28"/>
        <v>11.770080114133719</v>
      </c>
      <c r="H479" s="5">
        <f t="shared" si="29"/>
        <v>12.428768691183366</v>
      </c>
      <c r="I479" s="5">
        <f t="shared" si="30"/>
        <v>9.1235200143519002</v>
      </c>
    </row>
    <row r="480" spans="1:9" x14ac:dyDescent="0.25">
      <c r="A480" t="s">
        <v>306</v>
      </c>
      <c r="B480" t="str">
        <f t="shared" si="27"/>
        <v>Twin101Ultra0.9470</v>
      </c>
      <c r="C480">
        <v>0.94</v>
      </c>
      <c r="D480">
        <v>70</v>
      </c>
      <c r="E480" s="5">
        <v>1.155610509455165</v>
      </c>
      <c r="F480" s="5">
        <v>48.768000000000001</v>
      </c>
      <c r="G480" s="5">
        <f t="shared" si="28"/>
        <v>12.513636413102525</v>
      </c>
      <c r="H480" s="5">
        <f t="shared" si="29"/>
        <v>13.375121637212557</v>
      </c>
      <c r="I480" s="5">
        <f t="shared" si="30"/>
        <v>9.2348097012405752</v>
      </c>
    </row>
    <row r="481" spans="1:9" x14ac:dyDescent="0.25">
      <c r="A481" t="s">
        <v>306</v>
      </c>
      <c r="B481" t="str">
        <f t="shared" si="27"/>
        <v>Twin101Ultra0.9480</v>
      </c>
      <c r="C481">
        <v>0.94</v>
      </c>
      <c r="D481">
        <v>80</v>
      </c>
      <c r="E481" s="5">
        <v>1.237375403992087</v>
      </c>
      <c r="F481" s="5">
        <v>51.054000000000002</v>
      </c>
      <c r="G481" s="5">
        <f t="shared" si="28"/>
        <v>13.136878473154184</v>
      </c>
      <c r="H481" s="5">
        <f t="shared" si="29"/>
        <v>14.321474583241747</v>
      </c>
      <c r="I481" s="5">
        <f t="shared" si="30"/>
        <v>9.4190975924815064</v>
      </c>
    </row>
    <row r="482" spans="1:9" x14ac:dyDescent="0.25">
      <c r="A482" t="s">
        <v>306</v>
      </c>
      <c r="B482" t="str">
        <f t="shared" si="27"/>
        <v>Twin101Ultra0.9490</v>
      </c>
      <c r="C482">
        <v>0.94</v>
      </c>
      <c r="D482">
        <v>90</v>
      </c>
      <c r="E482" s="5">
        <v>1.3136893055598808</v>
      </c>
      <c r="F482" s="5">
        <v>53.035200000000003</v>
      </c>
      <c r="G482" s="5">
        <f t="shared" si="28"/>
        <v>13.679677549788082</v>
      </c>
      <c r="H482" s="5">
        <f t="shared" si="29"/>
        <v>15.204737332868991</v>
      </c>
      <c r="I482" s="5">
        <f t="shared" si="30"/>
        <v>9.6032183564168268</v>
      </c>
    </row>
    <row r="483" spans="1:9" x14ac:dyDescent="0.25">
      <c r="A483" t="s">
        <v>306</v>
      </c>
      <c r="B483" t="str">
        <f t="shared" si="27"/>
        <v>Twin101Ultra0.94100</v>
      </c>
      <c r="C483">
        <v>0.94</v>
      </c>
      <c r="D483">
        <v>100</v>
      </c>
      <c r="E483" s="5">
        <v>1.3845522141585465</v>
      </c>
      <c r="F483" s="5">
        <v>54.711600000000004</v>
      </c>
      <c r="G483" s="5">
        <f t="shared" si="28"/>
        <v>14.140895375323126</v>
      </c>
      <c r="H483" s="5">
        <f t="shared" si="29"/>
        <v>16.024909886094285</v>
      </c>
      <c r="I483" s="5">
        <f t="shared" si="30"/>
        <v>9.7911212650274546</v>
      </c>
    </row>
    <row r="484" spans="1:9" x14ac:dyDescent="0.25">
      <c r="A484" t="s">
        <v>306</v>
      </c>
      <c r="B484" t="str">
        <f t="shared" si="27"/>
        <v>Twin101Ultra0.94110</v>
      </c>
      <c r="C484">
        <v>0.94</v>
      </c>
      <c r="D484">
        <v>110</v>
      </c>
      <c r="E484" s="5">
        <v>1.4499641297880841</v>
      </c>
      <c r="F484" s="5">
        <v>56.083200000000005</v>
      </c>
      <c r="G484" s="5">
        <f t="shared" si="28"/>
        <v>14.519568800183116</v>
      </c>
      <c r="H484" s="5">
        <f t="shared" si="29"/>
        <v>16.781992242917639</v>
      </c>
      <c r="I484" s="5">
        <f t="shared" si="30"/>
        <v>9.9862754172823482</v>
      </c>
    </row>
    <row r="485" spans="1:9" x14ac:dyDescent="0.25">
      <c r="A485" t="s">
        <v>306</v>
      </c>
      <c r="B485" t="str">
        <f t="shared" si="27"/>
        <v>Twin101Ultra1.0230</v>
      </c>
      <c r="C485">
        <v>1.02</v>
      </c>
      <c r="D485">
        <v>30</v>
      </c>
      <c r="E485" s="5">
        <v>0.89396284693701444</v>
      </c>
      <c r="F485" s="5">
        <v>31.699200000000001</v>
      </c>
      <c r="G485" s="5">
        <f t="shared" si="28"/>
        <v>7.9638823614806498</v>
      </c>
      <c r="H485" s="5">
        <f t="shared" si="29"/>
        <v>10.346792209919148</v>
      </c>
      <c r="I485" s="5">
        <f t="shared" si="30"/>
        <v>11.22521411492583</v>
      </c>
    </row>
    <row r="486" spans="1:9" x14ac:dyDescent="0.25">
      <c r="A486" t="s">
        <v>306</v>
      </c>
      <c r="B486" t="str">
        <f t="shared" ref="B486:B549" si="31">A486&amp;C486&amp;D486</f>
        <v>Twin101Ultra1.0240</v>
      </c>
      <c r="C486">
        <v>1.02</v>
      </c>
      <c r="D486">
        <v>40</v>
      </c>
      <c r="E486" s="5">
        <v>1.0356886641343459</v>
      </c>
      <c r="F486" s="5">
        <v>39.471600000000002</v>
      </c>
      <c r="G486" s="5">
        <f t="shared" si="28"/>
        <v>10.012945682798296</v>
      </c>
      <c r="H486" s="5">
        <f t="shared" si="29"/>
        <v>11.987137316369743</v>
      </c>
      <c r="I486" s="5">
        <f t="shared" si="30"/>
        <v>10.343496279157925</v>
      </c>
    </row>
    <row r="487" spans="1:9" x14ac:dyDescent="0.25">
      <c r="A487" t="s">
        <v>306</v>
      </c>
      <c r="B487" t="str">
        <f t="shared" si="31"/>
        <v>Twin101Ultra1.0250</v>
      </c>
      <c r="C487">
        <v>1.02</v>
      </c>
      <c r="D487">
        <v>50</v>
      </c>
      <c r="E487" s="5">
        <v>1.155610509455165</v>
      </c>
      <c r="F487" s="5">
        <v>44.653200000000005</v>
      </c>
      <c r="G487" s="5">
        <f t="shared" si="28"/>
        <v>11.400075035460176</v>
      </c>
      <c r="H487" s="5">
        <f t="shared" si="29"/>
        <v>13.375121637212557</v>
      </c>
      <c r="I487" s="5">
        <f t="shared" si="30"/>
        <v>10.136867572016971</v>
      </c>
    </row>
    <row r="488" spans="1:9" x14ac:dyDescent="0.25">
      <c r="A488" t="s">
        <v>306</v>
      </c>
      <c r="B488" t="str">
        <f t="shared" si="31"/>
        <v>Twin101Ultra1.0260</v>
      </c>
      <c r="C488">
        <v>1.02</v>
      </c>
      <c r="D488">
        <v>60</v>
      </c>
      <c r="E488" s="5">
        <v>1.2646303688377276</v>
      </c>
      <c r="F488" s="5">
        <v>48.3108</v>
      </c>
      <c r="G488" s="5">
        <f t="shared" si="28"/>
        <v>12.389382016827916</v>
      </c>
      <c r="H488" s="5">
        <f t="shared" si="29"/>
        <v>14.636925565251476</v>
      </c>
      <c r="I488" s="5">
        <f t="shared" si="30"/>
        <v>10.207372467166156</v>
      </c>
    </row>
    <row r="489" spans="1:9" x14ac:dyDescent="0.25">
      <c r="A489" t="s">
        <v>306</v>
      </c>
      <c r="B489" t="str">
        <f t="shared" si="31"/>
        <v>Twin101Ultra1.0270</v>
      </c>
      <c r="C489">
        <v>1.02</v>
      </c>
      <c r="D489">
        <v>70</v>
      </c>
      <c r="E489" s="5">
        <v>1.368199235251162</v>
      </c>
      <c r="F489" s="5">
        <v>51.054000000000002</v>
      </c>
      <c r="G489" s="5">
        <f t="shared" si="28"/>
        <v>13.136878473154184</v>
      </c>
      <c r="H489" s="5">
        <f t="shared" si="29"/>
        <v>15.835639296888449</v>
      </c>
      <c r="I489" s="5">
        <f t="shared" si="30"/>
        <v>10.414949320320959</v>
      </c>
    </row>
    <row r="490" spans="1:9" x14ac:dyDescent="0.25">
      <c r="A490" t="s">
        <v>306</v>
      </c>
      <c r="B490" t="str">
        <f t="shared" si="31"/>
        <v>Twin101Ultra1.0280</v>
      </c>
      <c r="C490">
        <v>1.02</v>
      </c>
      <c r="D490">
        <v>80</v>
      </c>
      <c r="E490" s="5">
        <v>1.4608661157263405</v>
      </c>
      <c r="F490" s="5">
        <v>53.644800000000004</v>
      </c>
      <c r="G490" s="5">
        <f t="shared" si="28"/>
        <v>13.847188818254352</v>
      </c>
      <c r="H490" s="5">
        <f t="shared" si="29"/>
        <v>16.908172635721535</v>
      </c>
      <c r="I490" s="5">
        <f t="shared" si="30"/>
        <v>10.549911140090201</v>
      </c>
    </row>
    <row r="491" spans="1:9" x14ac:dyDescent="0.25">
      <c r="A491" t="s">
        <v>306</v>
      </c>
      <c r="B491" t="str">
        <f t="shared" si="31"/>
        <v>Twin101Ultra1.0290</v>
      </c>
      <c r="C491">
        <v>1.02</v>
      </c>
      <c r="D491">
        <v>90</v>
      </c>
      <c r="E491" s="5">
        <v>1.5480820032323908</v>
      </c>
      <c r="F491" s="5">
        <v>55.930800000000005</v>
      </c>
      <c r="G491" s="5">
        <f t="shared" si="28"/>
        <v>14.47743560249706</v>
      </c>
      <c r="H491" s="5">
        <f t="shared" si="29"/>
        <v>17.917615778152669</v>
      </c>
      <c r="I491" s="5">
        <f t="shared" si="30"/>
        <v>10.693067790026145</v>
      </c>
    </row>
    <row r="492" spans="1:9" x14ac:dyDescent="0.25">
      <c r="A492" t="s">
        <v>306</v>
      </c>
      <c r="B492" t="str">
        <f t="shared" si="31"/>
        <v>Twin101Ultra1.02100</v>
      </c>
      <c r="C492">
        <v>1.02</v>
      </c>
      <c r="D492">
        <v>100</v>
      </c>
      <c r="E492" s="5">
        <v>1.635297890738441</v>
      </c>
      <c r="F492" s="5">
        <v>57.454800000000006</v>
      </c>
      <c r="G492" s="5">
        <f t="shared" si="28"/>
        <v>14.899424272250286</v>
      </c>
      <c r="H492" s="5">
        <f t="shared" si="29"/>
        <v>18.927058920583807</v>
      </c>
      <c r="I492" s="5">
        <f t="shared" si="30"/>
        <v>10.975577719362837</v>
      </c>
    </row>
    <row r="493" spans="1:9" x14ac:dyDescent="0.25">
      <c r="A493" t="s">
        <v>306</v>
      </c>
      <c r="B493" t="str">
        <f t="shared" si="31"/>
        <v>Twin101Ultra1.02110</v>
      </c>
      <c r="C493">
        <v>1.02</v>
      </c>
      <c r="D493">
        <v>110</v>
      </c>
      <c r="E493" s="5">
        <v>1.7116117923062348</v>
      </c>
      <c r="F493" s="5">
        <v>58.8264</v>
      </c>
      <c r="G493" s="5">
        <f t="shared" si="28"/>
        <v>15.280461791524729</v>
      </c>
      <c r="H493" s="5">
        <f t="shared" si="29"/>
        <v>19.810321670211049</v>
      </c>
      <c r="I493" s="5">
        <f t="shared" si="30"/>
        <v>11.201309329902426</v>
      </c>
    </row>
    <row r="494" spans="1:9" x14ac:dyDescent="0.25">
      <c r="A494" t="s">
        <v>306</v>
      </c>
      <c r="B494" t="str">
        <f t="shared" si="31"/>
        <v>Twin101Ultra1.130</v>
      </c>
      <c r="C494">
        <v>1.1000000000000001</v>
      </c>
      <c r="D494">
        <v>30</v>
      </c>
      <c r="E494" s="5">
        <v>1.0302376711652177</v>
      </c>
      <c r="F494" s="5">
        <v>31.851600000000001</v>
      </c>
      <c r="G494" s="5">
        <f t="shared" si="28"/>
        <v>8.0036952442783971</v>
      </c>
      <c r="H494" s="5">
        <f t="shared" si="29"/>
        <v>11.924047119967797</v>
      </c>
      <c r="I494" s="5">
        <f t="shared" si="30"/>
        <v>12.872025229867464</v>
      </c>
    </row>
    <row r="495" spans="1:9" x14ac:dyDescent="0.25">
      <c r="A495" t="s">
        <v>306</v>
      </c>
      <c r="B495" t="str">
        <f t="shared" si="31"/>
        <v>Twin101Ultra1.140</v>
      </c>
      <c r="C495">
        <v>1.1000000000000001</v>
      </c>
      <c r="D495">
        <v>40</v>
      </c>
      <c r="E495" s="5">
        <v>1.193767460239062</v>
      </c>
      <c r="F495" s="5">
        <v>40.538400000000003</v>
      </c>
      <c r="G495" s="5">
        <f t="shared" si="28"/>
        <v>10.297152082682977</v>
      </c>
      <c r="H495" s="5">
        <f t="shared" si="29"/>
        <v>13.816753012026179</v>
      </c>
      <c r="I495" s="5">
        <f t="shared" si="30"/>
        <v>11.593180819837125</v>
      </c>
    </row>
    <row r="496" spans="1:9" x14ac:dyDescent="0.25">
      <c r="A496" t="s">
        <v>306</v>
      </c>
      <c r="B496" t="str">
        <f t="shared" si="31"/>
        <v>Twin101Ultra1.150</v>
      </c>
      <c r="C496">
        <v>1.1000000000000001</v>
      </c>
      <c r="D496">
        <v>50</v>
      </c>
      <c r="E496" s="5">
        <v>1.3354932774363935</v>
      </c>
      <c r="F496" s="5">
        <v>46.329599999999999</v>
      </c>
      <c r="G496" s="5">
        <f t="shared" si="28"/>
        <v>11.852463989879446</v>
      </c>
      <c r="H496" s="5">
        <f t="shared" si="29"/>
        <v>15.457098118476775</v>
      </c>
      <c r="I496" s="5">
        <f t="shared" si="30"/>
        <v>11.26764256425281</v>
      </c>
    </row>
    <row r="497" spans="1:9" x14ac:dyDescent="0.25">
      <c r="A497" t="s">
        <v>306</v>
      </c>
      <c r="B497" t="str">
        <f t="shared" si="31"/>
        <v>Twin101Ultra1.160</v>
      </c>
      <c r="C497">
        <v>1.1000000000000001</v>
      </c>
      <c r="D497">
        <v>60</v>
      </c>
      <c r="E497" s="5">
        <v>1.4608661157263405</v>
      </c>
      <c r="F497" s="5">
        <v>50.444400000000002</v>
      </c>
      <c r="G497" s="5">
        <f t="shared" si="28"/>
        <v>12.970359540614986</v>
      </c>
      <c r="H497" s="5">
        <f t="shared" si="29"/>
        <v>16.908172635721535</v>
      </c>
      <c r="I497" s="5">
        <f t="shared" si="30"/>
        <v>11.263111952693595</v>
      </c>
    </row>
    <row r="498" spans="1:9" x14ac:dyDescent="0.25">
      <c r="A498" t="s">
        <v>306</v>
      </c>
      <c r="B498" t="str">
        <f t="shared" si="31"/>
        <v>Twin101Ultra1.170</v>
      </c>
      <c r="C498">
        <v>1.1000000000000001</v>
      </c>
      <c r="D498">
        <v>70</v>
      </c>
      <c r="E498" s="5">
        <v>1.5753369680780314</v>
      </c>
      <c r="F498" s="5">
        <v>53.644800000000004</v>
      </c>
      <c r="G498" s="5">
        <f t="shared" si="28"/>
        <v>13.847188818254352</v>
      </c>
      <c r="H498" s="5">
        <f t="shared" si="29"/>
        <v>18.233066760162398</v>
      </c>
      <c r="I498" s="5">
        <f t="shared" si="30"/>
        <v>11.376583281664434</v>
      </c>
    </row>
    <row r="499" spans="1:9" x14ac:dyDescent="0.25">
      <c r="A499" t="s">
        <v>306</v>
      </c>
      <c r="B499" t="str">
        <f t="shared" si="31"/>
        <v>Twin101Ultra1.180</v>
      </c>
      <c r="C499">
        <v>1.1000000000000001</v>
      </c>
      <c r="D499">
        <v>80</v>
      </c>
      <c r="E499" s="5">
        <v>1.6843568274605942</v>
      </c>
      <c r="F499" s="5">
        <v>56.388000000000005</v>
      </c>
      <c r="G499" s="5">
        <f t="shared" si="28"/>
        <v>14.603878975081372</v>
      </c>
      <c r="H499" s="5">
        <f t="shared" si="29"/>
        <v>19.494870688201321</v>
      </c>
      <c r="I499" s="5">
        <f t="shared" si="30"/>
        <v>11.533626308014574</v>
      </c>
    </row>
    <row r="500" spans="1:9" x14ac:dyDescent="0.25">
      <c r="A500" t="s">
        <v>306</v>
      </c>
      <c r="B500" t="str">
        <f t="shared" si="31"/>
        <v>Twin101Ultra1.190</v>
      </c>
      <c r="C500">
        <v>1.1000000000000001</v>
      </c>
      <c r="D500">
        <v>90</v>
      </c>
      <c r="E500" s="5">
        <v>1.7879256938740289</v>
      </c>
      <c r="F500" s="5">
        <v>58.673999999999999</v>
      </c>
      <c r="G500" s="5">
        <f t="shared" si="28"/>
        <v>15.238065916681528</v>
      </c>
      <c r="H500" s="5">
        <f t="shared" si="29"/>
        <v>20.693584419838295</v>
      </c>
      <c r="I500" s="5">
        <f t="shared" si="30"/>
        <v>11.733284943443758</v>
      </c>
    </row>
    <row r="501" spans="1:9" x14ac:dyDescent="0.25">
      <c r="A501" t="s">
        <v>306</v>
      </c>
      <c r="B501" t="str">
        <f t="shared" si="31"/>
        <v>Twin101Ultra1.1100</v>
      </c>
      <c r="C501">
        <v>1.1000000000000001</v>
      </c>
      <c r="D501">
        <v>100</v>
      </c>
      <c r="E501" s="5">
        <v>1.8860435673183351</v>
      </c>
      <c r="F501" s="5">
        <v>60.3504</v>
      </c>
      <c r="G501" s="5">
        <f t="shared" si="28"/>
        <v>15.705223164603574</v>
      </c>
      <c r="H501" s="5">
        <f t="shared" si="29"/>
        <v>21.829207955073322</v>
      </c>
      <c r="I501" s="5">
        <f t="shared" si="30"/>
        <v>12.009021123425354</v>
      </c>
    </row>
    <row r="502" spans="1:9" x14ac:dyDescent="0.25">
      <c r="A502" t="s">
        <v>306</v>
      </c>
      <c r="B502" t="str">
        <f t="shared" si="31"/>
        <v>Twin101Ultra1.1110</v>
      </c>
      <c r="C502">
        <v>1.1000000000000001</v>
      </c>
      <c r="D502">
        <v>110</v>
      </c>
      <c r="E502" s="5">
        <v>1.9787104477935133</v>
      </c>
      <c r="F502" s="5">
        <v>61.569600000000001</v>
      </c>
      <c r="G502" s="5">
        <f t="shared" si="28"/>
        <v>16.04608297169532</v>
      </c>
      <c r="H502" s="5">
        <f t="shared" si="29"/>
        <v>22.901741293906404</v>
      </c>
      <c r="I502" s="5">
        <f t="shared" si="30"/>
        <v>12.331423508677371</v>
      </c>
    </row>
    <row r="503" spans="1:9" x14ac:dyDescent="0.25">
      <c r="A503" t="s">
        <v>307</v>
      </c>
      <c r="B503" t="str">
        <f t="shared" si="31"/>
        <v>Twin140+0.6330</v>
      </c>
      <c r="C503">
        <v>0.63</v>
      </c>
      <c r="D503">
        <v>30</v>
      </c>
      <c r="E503" s="5">
        <v>0.33796156408594441</v>
      </c>
      <c r="F503" s="5">
        <v>30.632400000000001</v>
      </c>
      <c r="G503" s="5">
        <f t="shared" si="28"/>
        <v>7.6856007908075412</v>
      </c>
      <c r="H503" s="5">
        <f t="shared" si="29"/>
        <v>3.9115921769206525</v>
      </c>
      <c r="I503" s="5">
        <f t="shared" si="30"/>
        <v>4.3973343566083676</v>
      </c>
    </row>
    <row r="504" spans="1:9" x14ac:dyDescent="0.25">
      <c r="A504" t="s">
        <v>307</v>
      </c>
      <c r="B504" t="str">
        <f t="shared" si="31"/>
        <v>Twin140+0.6340</v>
      </c>
      <c r="C504">
        <v>0.63</v>
      </c>
      <c r="D504">
        <v>40</v>
      </c>
      <c r="E504" s="5">
        <v>0.39247149377722579</v>
      </c>
      <c r="F504" s="5">
        <v>33.527999999999999</v>
      </c>
      <c r="G504" s="5">
        <f t="shared" si="28"/>
        <v>8.4426001046298964</v>
      </c>
      <c r="H504" s="5">
        <f t="shared" si="29"/>
        <v>4.5424941409401134</v>
      </c>
      <c r="I504" s="5">
        <f t="shared" si="30"/>
        <v>4.6487040593335172</v>
      </c>
    </row>
    <row r="505" spans="1:9" x14ac:dyDescent="0.25">
      <c r="A505" t="s">
        <v>307</v>
      </c>
      <c r="B505" t="str">
        <f t="shared" si="31"/>
        <v>Twin140+0.6350</v>
      </c>
      <c r="C505">
        <v>0.63</v>
      </c>
      <c r="D505">
        <v>50</v>
      </c>
      <c r="E505" s="5">
        <v>0.43607943753025091</v>
      </c>
      <c r="F505" s="5">
        <v>35.3568</v>
      </c>
      <c r="G505" s="5">
        <f t="shared" si="28"/>
        <v>8.9234192650364648</v>
      </c>
      <c r="H505" s="5">
        <f t="shared" si="29"/>
        <v>5.0472157121556815</v>
      </c>
      <c r="I505" s="5">
        <f t="shared" si="30"/>
        <v>4.8869096540032286</v>
      </c>
    </row>
    <row r="506" spans="1:9" x14ac:dyDescent="0.25">
      <c r="A506" t="s">
        <v>307</v>
      </c>
      <c r="B506" t="str">
        <f t="shared" si="31"/>
        <v>Twin140+0.6360</v>
      </c>
      <c r="C506">
        <v>0.63</v>
      </c>
      <c r="D506">
        <v>60</v>
      </c>
      <c r="E506" s="5">
        <v>0.47968738128327598</v>
      </c>
      <c r="F506" s="5">
        <v>37.642800000000001</v>
      </c>
      <c r="G506" s="5">
        <f t="shared" si="28"/>
        <v>9.5273983335627648</v>
      </c>
      <c r="H506" s="5">
        <f t="shared" si="29"/>
        <v>5.5519372833712497</v>
      </c>
      <c r="I506" s="5">
        <f t="shared" si="30"/>
        <v>5.0348202572096845</v>
      </c>
    </row>
    <row r="507" spans="1:9" x14ac:dyDescent="0.25">
      <c r="A507" t="s">
        <v>307</v>
      </c>
      <c r="B507" t="str">
        <f t="shared" si="31"/>
        <v>Twin140+0.6370</v>
      </c>
      <c r="C507">
        <v>0.63</v>
      </c>
      <c r="D507">
        <v>70</v>
      </c>
      <c r="E507" s="5">
        <v>0.51784433206717295</v>
      </c>
      <c r="F507" s="5">
        <v>39.928800000000003</v>
      </c>
      <c r="G507" s="5">
        <f t="shared" si="28"/>
        <v>10.134660866553624</v>
      </c>
      <c r="H507" s="5">
        <f t="shared" si="29"/>
        <v>5.9935686581848717</v>
      </c>
      <c r="I507" s="5">
        <f t="shared" si="30"/>
        <v>5.109636512615447</v>
      </c>
    </row>
    <row r="508" spans="1:9" x14ac:dyDescent="0.25">
      <c r="A508" t="s">
        <v>307</v>
      </c>
      <c r="B508" t="str">
        <f t="shared" si="31"/>
        <v>Twin140+0.6380</v>
      </c>
      <c r="C508">
        <v>0.63</v>
      </c>
      <c r="D508">
        <v>80</v>
      </c>
      <c r="E508" s="5">
        <v>0.55600128285106987</v>
      </c>
      <c r="F508" s="5">
        <v>42.062400000000004</v>
      </c>
      <c r="G508" s="5">
        <f t="shared" si="28"/>
        <v>10.704401645284221</v>
      </c>
      <c r="H508" s="5">
        <f t="shared" si="29"/>
        <v>6.4352000329984937</v>
      </c>
      <c r="I508" s="5">
        <f t="shared" si="30"/>
        <v>5.1941369660397019</v>
      </c>
    </row>
    <row r="509" spans="1:9" x14ac:dyDescent="0.25">
      <c r="A509" t="s">
        <v>307</v>
      </c>
      <c r="B509" t="str">
        <f t="shared" si="31"/>
        <v>Twin140+0.6390</v>
      </c>
      <c r="C509">
        <v>0.63</v>
      </c>
      <c r="D509">
        <v>90</v>
      </c>
      <c r="E509" s="5">
        <v>0.58870724066583879</v>
      </c>
      <c r="F509" s="5">
        <v>44.043600000000005</v>
      </c>
      <c r="G509" s="5">
        <f t="shared" si="28"/>
        <v>11.236007756387835</v>
      </c>
      <c r="H509" s="5">
        <f t="shared" si="29"/>
        <v>6.8137412114101705</v>
      </c>
      <c r="I509" s="5">
        <f t="shared" si="30"/>
        <v>5.239469867143427</v>
      </c>
    </row>
    <row r="510" spans="1:9" x14ac:dyDescent="0.25">
      <c r="A510" t="s">
        <v>307</v>
      </c>
      <c r="B510" t="str">
        <f t="shared" si="31"/>
        <v>Twin140+0.63100</v>
      </c>
      <c r="C510">
        <v>0.63</v>
      </c>
      <c r="D510">
        <v>100</v>
      </c>
      <c r="E510" s="5">
        <v>0.62141319848060761</v>
      </c>
      <c r="F510" s="5">
        <v>45.72</v>
      </c>
      <c r="G510" s="5">
        <f t="shared" si="28"/>
        <v>11.687754611089588</v>
      </c>
      <c r="H510" s="5">
        <f t="shared" si="29"/>
        <v>7.1922823898218473</v>
      </c>
      <c r="I510" s="5">
        <f t="shared" si="30"/>
        <v>5.3167885462875626</v>
      </c>
    </row>
    <row r="511" spans="1:9" x14ac:dyDescent="0.25">
      <c r="A511" t="s">
        <v>307</v>
      </c>
      <c r="B511" t="str">
        <f t="shared" si="31"/>
        <v>Twin140+0.63110</v>
      </c>
      <c r="C511">
        <v>0.63</v>
      </c>
      <c r="D511">
        <v>110</v>
      </c>
      <c r="E511" s="5">
        <v>0.64866816332624821</v>
      </c>
      <c r="F511" s="5">
        <v>47.244</v>
      </c>
      <c r="G511" s="5">
        <f t="shared" si="28"/>
        <v>12.099965853326161</v>
      </c>
      <c r="H511" s="5">
        <f t="shared" si="29"/>
        <v>7.5077333718315762</v>
      </c>
      <c r="I511" s="5">
        <f t="shared" si="30"/>
        <v>5.3609090404824222</v>
      </c>
    </row>
    <row r="512" spans="1:9" x14ac:dyDescent="0.25">
      <c r="A512" t="s">
        <v>307</v>
      </c>
      <c r="B512" t="str">
        <f t="shared" si="31"/>
        <v>Twin140+0.6730</v>
      </c>
      <c r="C512">
        <v>0.67</v>
      </c>
      <c r="D512">
        <v>30</v>
      </c>
      <c r="E512" s="5">
        <v>0.38156950783896953</v>
      </c>
      <c r="F512" s="5">
        <v>31.851600000000001</v>
      </c>
      <c r="G512" s="5">
        <f t="shared" si="28"/>
        <v>8.0036952442783971</v>
      </c>
      <c r="H512" s="5">
        <f t="shared" si="29"/>
        <v>4.4163137481362211</v>
      </c>
      <c r="I512" s="5">
        <f t="shared" si="30"/>
        <v>4.7674167518027648</v>
      </c>
    </row>
    <row r="513" spans="1:9" x14ac:dyDescent="0.25">
      <c r="A513" t="s">
        <v>307</v>
      </c>
      <c r="B513" t="str">
        <f t="shared" si="31"/>
        <v>Twin140+0.6740</v>
      </c>
      <c r="C513">
        <v>0.67</v>
      </c>
      <c r="D513">
        <v>40</v>
      </c>
      <c r="E513" s="5">
        <v>0.44153043049937907</v>
      </c>
      <c r="F513" s="5">
        <v>34.594799999999999</v>
      </c>
      <c r="G513" s="5">
        <f t="shared" si="28"/>
        <v>8.7228225676309279</v>
      </c>
      <c r="H513" s="5">
        <f t="shared" si="29"/>
        <v>5.1103059085576277</v>
      </c>
      <c r="I513" s="5">
        <f t="shared" si="30"/>
        <v>5.0617839245960541</v>
      </c>
    </row>
    <row r="514" spans="1:9" x14ac:dyDescent="0.25">
      <c r="A514" t="s">
        <v>307</v>
      </c>
      <c r="B514" t="str">
        <f t="shared" si="31"/>
        <v>Twin140+0.6750</v>
      </c>
      <c r="C514">
        <v>0.67</v>
      </c>
      <c r="D514">
        <v>50</v>
      </c>
      <c r="E514" s="5">
        <v>0.49604036019066039</v>
      </c>
      <c r="F514" s="5">
        <v>36.728400000000001</v>
      </c>
      <c r="G514" s="5">
        <f t="shared" si="28"/>
        <v>9.2854126904165</v>
      </c>
      <c r="H514" s="5">
        <f t="shared" si="29"/>
        <v>5.7412078725770872</v>
      </c>
      <c r="I514" s="5">
        <f t="shared" si="30"/>
        <v>5.342146619962568</v>
      </c>
    </row>
    <row r="515" spans="1:9" x14ac:dyDescent="0.25">
      <c r="A515" t="s">
        <v>307</v>
      </c>
      <c r="B515" t="str">
        <f t="shared" si="31"/>
        <v>Twin140+0.6760</v>
      </c>
      <c r="C515">
        <v>0.67</v>
      </c>
      <c r="D515">
        <v>60</v>
      </c>
      <c r="E515" s="5">
        <v>0.53964830394368546</v>
      </c>
      <c r="F515" s="5">
        <v>39.166800000000002</v>
      </c>
      <c r="G515" s="5">
        <f t="shared" ref="G515:G578" si="32">(PI()*(G$1+F515)^2)/10000-((PI()*(G$1)^2)/10000)</f>
        <v>9.9318751928383904</v>
      </c>
      <c r="H515" s="5">
        <f t="shared" ref="H515:H578" si="33">E515/0.0864</f>
        <v>6.2459294437926554</v>
      </c>
      <c r="I515" s="5">
        <f t="shared" ref="I515:I578" si="34">E515/G515*100</f>
        <v>5.4334986441715607</v>
      </c>
    </row>
    <row r="516" spans="1:9" x14ac:dyDescent="0.25">
      <c r="A516" t="s">
        <v>307</v>
      </c>
      <c r="B516" t="str">
        <f t="shared" si="31"/>
        <v>Twin140+0.6770</v>
      </c>
      <c r="C516">
        <v>0.67</v>
      </c>
      <c r="D516">
        <v>70</v>
      </c>
      <c r="E516" s="5">
        <v>0.58325624769671058</v>
      </c>
      <c r="F516" s="5">
        <v>41.300400000000003</v>
      </c>
      <c r="G516" s="5">
        <f t="shared" si="32"/>
        <v>10.500594449291128</v>
      </c>
      <c r="H516" s="5">
        <f t="shared" si="33"/>
        <v>6.7506510150082244</v>
      </c>
      <c r="I516" s="5">
        <f t="shared" si="34"/>
        <v>5.5545069425672837</v>
      </c>
    </row>
    <row r="517" spans="1:9" x14ac:dyDescent="0.25">
      <c r="A517" t="s">
        <v>307</v>
      </c>
      <c r="B517" t="str">
        <f t="shared" si="31"/>
        <v>Twin140+0.6780</v>
      </c>
      <c r="C517">
        <v>0.67</v>
      </c>
      <c r="D517">
        <v>80</v>
      </c>
      <c r="E517" s="5">
        <v>0.62686419144973571</v>
      </c>
      <c r="F517" s="5">
        <v>43.434000000000005</v>
      </c>
      <c r="G517" s="5">
        <f t="shared" si="32"/>
        <v>11.072173968121874</v>
      </c>
      <c r="H517" s="5">
        <f t="shared" si="33"/>
        <v>7.2553725862237926</v>
      </c>
      <c r="I517" s="5">
        <f t="shared" si="34"/>
        <v>5.6616179736206593</v>
      </c>
    </row>
    <row r="518" spans="1:9" x14ac:dyDescent="0.25">
      <c r="A518" t="s">
        <v>307</v>
      </c>
      <c r="B518" t="str">
        <f t="shared" si="31"/>
        <v>Twin140+0.6790</v>
      </c>
      <c r="C518">
        <v>0.67</v>
      </c>
      <c r="D518">
        <v>90</v>
      </c>
      <c r="E518" s="5">
        <v>0.66502114223363273</v>
      </c>
      <c r="F518" s="5">
        <v>45.567599999999999</v>
      </c>
      <c r="G518" s="5">
        <f t="shared" si="32"/>
        <v>11.646613749330612</v>
      </c>
      <c r="H518" s="5">
        <f t="shared" si="33"/>
        <v>7.6970039610374155</v>
      </c>
      <c r="I518" s="5">
        <f t="shared" si="34"/>
        <v>5.7099956824090157</v>
      </c>
    </row>
    <row r="519" spans="1:9" x14ac:dyDescent="0.25">
      <c r="A519" t="s">
        <v>307</v>
      </c>
      <c r="B519" t="str">
        <f t="shared" si="31"/>
        <v>Twin140+0.67100</v>
      </c>
      <c r="C519">
        <v>0.67</v>
      </c>
      <c r="D519">
        <v>100</v>
      </c>
      <c r="E519" s="5">
        <v>0.69772710004840144</v>
      </c>
      <c r="F519" s="5">
        <v>47.244</v>
      </c>
      <c r="G519" s="5">
        <f t="shared" si="32"/>
        <v>12.099965853326161</v>
      </c>
      <c r="H519" s="5">
        <f t="shared" si="33"/>
        <v>8.0755451394490905</v>
      </c>
      <c r="I519" s="5">
        <f t="shared" si="34"/>
        <v>5.7663559427037816</v>
      </c>
    </row>
    <row r="520" spans="1:9" x14ac:dyDescent="0.25">
      <c r="A520" t="s">
        <v>307</v>
      </c>
      <c r="B520" t="str">
        <f t="shared" si="31"/>
        <v>Twin140+0.67110</v>
      </c>
      <c r="C520">
        <v>0.67</v>
      </c>
      <c r="D520">
        <v>110</v>
      </c>
      <c r="E520" s="5">
        <v>0.73588405083229835</v>
      </c>
      <c r="F520" s="5">
        <v>48.920400000000001</v>
      </c>
      <c r="G520" s="5">
        <f t="shared" si="32"/>
        <v>12.55508373154484</v>
      </c>
      <c r="H520" s="5">
        <f t="shared" si="33"/>
        <v>8.5171765142627116</v>
      </c>
      <c r="I520" s="5">
        <f t="shared" si="34"/>
        <v>5.8612436728189898</v>
      </c>
    </row>
    <row r="521" spans="1:9" x14ac:dyDescent="0.25">
      <c r="A521" t="s">
        <v>307</v>
      </c>
      <c r="B521" t="str">
        <f t="shared" si="31"/>
        <v>Twin140+0.7130</v>
      </c>
      <c r="C521">
        <v>0.71</v>
      </c>
      <c r="D521">
        <v>30</v>
      </c>
      <c r="E521" s="5">
        <v>0.43062844456112276</v>
      </c>
      <c r="F521" s="5">
        <v>33.070799999999998</v>
      </c>
      <c r="G521" s="5">
        <f t="shared" si="32"/>
        <v>8.3227236609747166</v>
      </c>
      <c r="H521" s="5">
        <f t="shared" si="33"/>
        <v>4.9841255157537354</v>
      </c>
      <c r="I521" s="5">
        <f t="shared" si="34"/>
        <v>5.1741288321314958</v>
      </c>
    </row>
    <row r="522" spans="1:9" x14ac:dyDescent="0.25">
      <c r="A522" t="s">
        <v>307</v>
      </c>
      <c r="B522" t="str">
        <f t="shared" si="31"/>
        <v>Twin140+0.7140</v>
      </c>
      <c r="C522">
        <v>0.71</v>
      </c>
      <c r="D522">
        <v>40</v>
      </c>
      <c r="E522" s="5">
        <v>0.49604036019066039</v>
      </c>
      <c r="F522" s="5">
        <v>35.6616</v>
      </c>
      <c r="G522" s="5">
        <f t="shared" si="32"/>
        <v>9.0037600962264648</v>
      </c>
      <c r="H522" s="5">
        <f t="shared" si="33"/>
        <v>5.7412078725770872</v>
      </c>
      <c r="I522" s="5">
        <f t="shared" si="34"/>
        <v>5.5092578532668162</v>
      </c>
    </row>
    <row r="523" spans="1:9" x14ac:dyDescent="0.25">
      <c r="A523" t="s">
        <v>307</v>
      </c>
      <c r="B523" t="str">
        <f t="shared" si="31"/>
        <v>Twin140+0.7150</v>
      </c>
      <c r="C523">
        <v>0.71</v>
      </c>
      <c r="D523">
        <v>50</v>
      </c>
      <c r="E523" s="5">
        <v>0.55600128285106987</v>
      </c>
      <c r="F523" s="5">
        <v>38.1</v>
      </c>
      <c r="G523" s="5">
        <f t="shared" si="32"/>
        <v>9.6485881630037866</v>
      </c>
      <c r="H523" s="5">
        <f t="shared" si="33"/>
        <v>6.4352000329984937</v>
      </c>
      <c r="I523" s="5">
        <f t="shared" si="34"/>
        <v>5.7625144058172362</v>
      </c>
    </row>
    <row r="524" spans="1:9" x14ac:dyDescent="0.25">
      <c r="A524" t="s">
        <v>307</v>
      </c>
      <c r="B524" t="str">
        <f t="shared" si="31"/>
        <v>Twin140+0.7160</v>
      </c>
      <c r="C524">
        <v>0.71</v>
      </c>
      <c r="D524">
        <v>60</v>
      </c>
      <c r="E524" s="5">
        <v>0.6050602195732232</v>
      </c>
      <c r="F524" s="5">
        <v>40.538400000000003</v>
      </c>
      <c r="G524" s="5">
        <f t="shared" si="32"/>
        <v>10.297152082682977</v>
      </c>
      <c r="H524" s="5">
        <f t="shared" si="33"/>
        <v>7.0030118006160089</v>
      </c>
      <c r="I524" s="5">
        <f t="shared" si="34"/>
        <v>5.8759957579996387</v>
      </c>
    </row>
    <row r="525" spans="1:9" x14ac:dyDescent="0.25">
      <c r="A525" t="s">
        <v>307</v>
      </c>
      <c r="B525" t="str">
        <f t="shared" si="31"/>
        <v>Twin140+0.7170</v>
      </c>
      <c r="C525">
        <v>0.71</v>
      </c>
      <c r="D525">
        <v>70</v>
      </c>
      <c r="E525" s="5">
        <v>0.65411915629537642</v>
      </c>
      <c r="F525" s="5">
        <v>42.672000000000004</v>
      </c>
      <c r="G525" s="5">
        <f t="shared" si="32"/>
        <v>10.867710079235856</v>
      </c>
      <c r="H525" s="5">
        <f t="shared" si="33"/>
        <v>7.5708235682335232</v>
      </c>
      <c r="I525" s="5">
        <f t="shared" si="34"/>
        <v>6.0189235039049711</v>
      </c>
    </row>
    <row r="526" spans="1:9" x14ac:dyDescent="0.25">
      <c r="A526" t="s">
        <v>307</v>
      </c>
      <c r="B526" t="str">
        <f t="shared" si="31"/>
        <v>Twin140+0.7180</v>
      </c>
      <c r="C526">
        <v>0.71</v>
      </c>
      <c r="D526">
        <v>80</v>
      </c>
      <c r="E526" s="5">
        <v>0.70317809301752954</v>
      </c>
      <c r="F526" s="5">
        <v>44.805600000000005</v>
      </c>
      <c r="G526" s="5">
        <f t="shared" si="32"/>
        <v>11.441128338166763</v>
      </c>
      <c r="H526" s="5">
        <f t="shared" si="33"/>
        <v>8.1386353358510366</v>
      </c>
      <c r="I526" s="5">
        <f t="shared" si="34"/>
        <v>6.14605546090921</v>
      </c>
    </row>
    <row r="527" spans="1:9" x14ac:dyDescent="0.25">
      <c r="A527" t="s">
        <v>307</v>
      </c>
      <c r="B527" t="str">
        <f t="shared" si="31"/>
        <v>Twin140+0.7190</v>
      </c>
      <c r="C527">
        <v>0.71</v>
      </c>
      <c r="D527">
        <v>90</v>
      </c>
      <c r="E527" s="5">
        <v>0.74678603677055466</v>
      </c>
      <c r="F527" s="5">
        <v>46.9392</v>
      </c>
      <c r="G527" s="5">
        <f t="shared" si="32"/>
        <v>12.017406859475663</v>
      </c>
      <c r="H527" s="5">
        <f t="shared" si="33"/>
        <v>8.6433569070666039</v>
      </c>
      <c r="I527" s="5">
        <f t="shared" si="34"/>
        <v>6.2142028268079956</v>
      </c>
    </row>
    <row r="528" spans="1:9" x14ac:dyDescent="0.25">
      <c r="A528" t="s">
        <v>307</v>
      </c>
      <c r="B528" t="str">
        <f t="shared" si="31"/>
        <v>Twin140+0.71100</v>
      </c>
      <c r="C528">
        <v>0.71</v>
      </c>
      <c r="D528">
        <v>100</v>
      </c>
      <c r="E528" s="5">
        <v>0.78494298755445158</v>
      </c>
      <c r="F528" s="5">
        <v>48.768000000000001</v>
      </c>
      <c r="G528" s="5">
        <f t="shared" si="32"/>
        <v>12.513636413102525</v>
      </c>
      <c r="H528" s="5">
        <f t="shared" si="33"/>
        <v>9.0849882818802268</v>
      </c>
      <c r="I528" s="5">
        <f t="shared" si="34"/>
        <v>6.2727009291445395</v>
      </c>
    </row>
    <row r="529" spans="1:9" x14ac:dyDescent="0.25">
      <c r="A529" t="s">
        <v>307</v>
      </c>
      <c r="B529" t="str">
        <f t="shared" si="31"/>
        <v>Twin140+0.71110</v>
      </c>
      <c r="C529">
        <v>0.71</v>
      </c>
      <c r="D529">
        <v>110</v>
      </c>
      <c r="E529" s="5">
        <v>0.8230999383383486</v>
      </c>
      <c r="F529" s="5">
        <v>50.444400000000002</v>
      </c>
      <c r="G529" s="5">
        <f t="shared" si="32"/>
        <v>12.970359540614986</v>
      </c>
      <c r="H529" s="5">
        <f t="shared" si="33"/>
        <v>9.5266196566938497</v>
      </c>
      <c r="I529" s="5">
        <f t="shared" si="34"/>
        <v>6.3460071076743771</v>
      </c>
    </row>
    <row r="530" spans="1:9" x14ac:dyDescent="0.25">
      <c r="A530" t="s">
        <v>307</v>
      </c>
      <c r="B530" t="str">
        <f t="shared" si="31"/>
        <v>Twin140+0.7530</v>
      </c>
      <c r="C530">
        <v>0.75</v>
      </c>
      <c r="D530">
        <v>30</v>
      </c>
      <c r="E530" s="5">
        <v>0.47968738128327598</v>
      </c>
      <c r="F530" s="5">
        <v>34.29</v>
      </c>
      <c r="G530" s="5">
        <f t="shared" si="32"/>
        <v>8.6426860408964998</v>
      </c>
      <c r="H530" s="5">
        <f t="shared" si="33"/>
        <v>5.5519372833712497</v>
      </c>
      <c r="I530" s="5">
        <f t="shared" si="34"/>
        <v>5.5502118093082826</v>
      </c>
    </row>
    <row r="531" spans="1:9" x14ac:dyDescent="0.25">
      <c r="A531" t="s">
        <v>307</v>
      </c>
      <c r="B531" t="str">
        <f t="shared" si="31"/>
        <v>Twin140+0.7540</v>
      </c>
      <c r="C531">
        <v>0.75</v>
      </c>
      <c r="D531">
        <v>40</v>
      </c>
      <c r="E531" s="5">
        <v>0.55055028988194177</v>
      </c>
      <c r="F531" s="5">
        <v>36.880800000000001</v>
      </c>
      <c r="G531" s="5">
        <f t="shared" si="32"/>
        <v>9.3257071480023868</v>
      </c>
      <c r="H531" s="5">
        <f t="shared" si="33"/>
        <v>6.3721098365965476</v>
      </c>
      <c r="I531" s="5">
        <f t="shared" si="34"/>
        <v>5.9035768670890807</v>
      </c>
    </row>
    <row r="532" spans="1:9" x14ac:dyDescent="0.25">
      <c r="A532" t="s">
        <v>307</v>
      </c>
      <c r="B532" t="str">
        <f t="shared" si="31"/>
        <v>Twin140+0.7550</v>
      </c>
      <c r="C532">
        <v>0.75</v>
      </c>
      <c r="D532">
        <v>50</v>
      </c>
      <c r="E532" s="5">
        <v>0.6159622055114794</v>
      </c>
      <c r="F532" s="5">
        <v>39.471600000000002</v>
      </c>
      <c r="G532" s="5">
        <f t="shared" si="32"/>
        <v>10.012945682798296</v>
      </c>
      <c r="H532" s="5">
        <f t="shared" si="33"/>
        <v>7.1291921934199003</v>
      </c>
      <c r="I532" s="5">
        <f t="shared" si="34"/>
        <v>6.1516583133939244</v>
      </c>
    </row>
    <row r="533" spans="1:9" x14ac:dyDescent="0.25">
      <c r="A533" t="s">
        <v>307</v>
      </c>
      <c r="B533" t="str">
        <f t="shared" si="31"/>
        <v>Twin140+0.7560</v>
      </c>
      <c r="C533">
        <v>0.75</v>
      </c>
      <c r="D533">
        <v>60</v>
      </c>
      <c r="E533" s="5">
        <v>0.67592312817188882</v>
      </c>
      <c r="F533" s="5">
        <v>41.757600000000004</v>
      </c>
      <c r="G533" s="5">
        <f t="shared" si="32"/>
        <v>10.622834987360797</v>
      </c>
      <c r="H533" s="5">
        <f t="shared" si="33"/>
        <v>7.8231843538413051</v>
      </c>
      <c r="I533" s="5">
        <f t="shared" si="34"/>
        <v>6.3629259889296215</v>
      </c>
    </row>
    <row r="534" spans="1:9" x14ac:dyDescent="0.25">
      <c r="A534" t="s">
        <v>307</v>
      </c>
      <c r="B534" t="str">
        <f t="shared" si="31"/>
        <v>Twin140+0.7570</v>
      </c>
      <c r="C534">
        <v>0.75</v>
      </c>
      <c r="D534">
        <v>70</v>
      </c>
      <c r="E534" s="5">
        <v>0.73043305786317025</v>
      </c>
      <c r="F534" s="5">
        <v>44.043600000000005</v>
      </c>
      <c r="G534" s="5">
        <f t="shared" si="32"/>
        <v>11.236007756387835</v>
      </c>
      <c r="H534" s="5">
        <f t="shared" si="33"/>
        <v>8.4540863178607673</v>
      </c>
      <c r="I534" s="5">
        <f t="shared" si="34"/>
        <v>6.500823724048324</v>
      </c>
    </row>
    <row r="535" spans="1:9" x14ac:dyDescent="0.25">
      <c r="A535" t="s">
        <v>307</v>
      </c>
      <c r="B535" t="str">
        <f t="shared" si="31"/>
        <v>Twin140+0.7580</v>
      </c>
      <c r="C535">
        <v>0.75</v>
      </c>
      <c r="D535">
        <v>80</v>
      </c>
      <c r="E535" s="5">
        <v>0.77949199458532348</v>
      </c>
      <c r="F535" s="5">
        <v>46.177199999999999</v>
      </c>
      <c r="G535" s="5">
        <f t="shared" si="32"/>
        <v>11.811264755418868</v>
      </c>
      <c r="H535" s="5">
        <f t="shared" si="33"/>
        <v>9.0218980854782806</v>
      </c>
      <c r="I535" s="5">
        <f t="shared" si="34"/>
        <v>6.5995641510592824</v>
      </c>
    </row>
    <row r="536" spans="1:9" x14ac:dyDescent="0.25">
      <c r="A536" t="s">
        <v>307</v>
      </c>
      <c r="B536" t="str">
        <f t="shared" si="31"/>
        <v>Twin140+0.7590</v>
      </c>
      <c r="C536">
        <v>0.75</v>
      </c>
      <c r="D536">
        <v>90</v>
      </c>
      <c r="E536" s="5">
        <v>0.8285509313074767</v>
      </c>
      <c r="F536" s="5">
        <v>48.3108</v>
      </c>
      <c r="G536" s="5">
        <f t="shared" si="32"/>
        <v>12.389382016827916</v>
      </c>
      <c r="H536" s="5">
        <f t="shared" si="33"/>
        <v>9.589709853095794</v>
      </c>
      <c r="I536" s="5">
        <f t="shared" si="34"/>
        <v>6.6875888577985156</v>
      </c>
    </row>
    <row r="537" spans="1:9" x14ac:dyDescent="0.25">
      <c r="A537" t="s">
        <v>307</v>
      </c>
      <c r="B537" t="str">
        <f t="shared" si="31"/>
        <v>Twin140+0.75100</v>
      </c>
      <c r="C537">
        <v>0.75</v>
      </c>
      <c r="D537">
        <v>100</v>
      </c>
      <c r="E537" s="5">
        <v>0.87215887506050183</v>
      </c>
      <c r="F537" s="5">
        <v>50.292000000000002</v>
      </c>
      <c r="G537" s="5">
        <f t="shared" si="32"/>
        <v>12.928766290418693</v>
      </c>
      <c r="H537" s="5">
        <f t="shared" si="33"/>
        <v>10.094431424311363</v>
      </c>
      <c r="I537" s="5">
        <f t="shared" si="34"/>
        <v>6.7458785739428606</v>
      </c>
    </row>
    <row r="538" spans="1:9" x14ac:dyDescent="0.25">
      <c r="A538" t="s">
        <v>307</v>
      </c>
      <c r="B538" t="str">
        <f t="shared" si="31"/>
        <v>Twin140+0.75110</v>
      </c>
      <c r="C538">
        <v>0.75</v>
      </c>
      <c r="D538">
        <v>110</v>
      </c>
      <c r="E538" s="5">
        <v>0.91576681881352695</v>
      </c>
      <c r="F538" s="5">
        <v>51.968400000000003</v>
      </c>
      <c r="G538" s="5">
        <f t="shared" si="32"/>
        <v>13.387094667224929</v>
      </c>
      <c r="H538" s="5">
        <f t="shared" si="33"/>
        <v>10.599152995526932</v>
      </c>
      <c r="I538" s="5">
        <f t="shared" si="34"/>
        <v>6.8406688798246948</v>
      </c>
    </row>
    <row r="539" spans="1:9" x14ac:dyDescent="0.25">
      <c r="A539" t="s">
        <v>307</v>
      </c>
      <c r="B539" t="str">
        <f t="shared" si="31"/>
        <v>Twin140+0.7930</v>
      </c>
      <c r="C539">
        <v>0.79</v>
      </c>
      <c r="D539">
        <v>30</v>
      </c>
      <c r="E539" s="5">
        <v>0.52874631800542926</v>
      </c>
      <c r="F539" s="5">
        <v>35.3568</v>
      </c>
      <c r="G539" s="5">
        <f t="shared" si="32"/>
        <v>8.9234192650364648</v>
      </c>
      <c r="H539" s="5">
        <f t="shared" si="33"/>
        <v>6.119749050988764</v>
      </c>
      <c r="I539" s="5">
        <f t="shared" si="34"/>
        <v>5.9253779554789148</v>
      </c>
    </row>
    <row r="540" spans="1:9" x14ac:dyDescent="0.25">
      <c r="A540" t="s">
        <v>307</v>
      </c>
      <c r="B540" t="str">
        <f t="shared" si="31"/>
        <v>Twin140+0.7940</v>
      </c>
      <c r="C540">
        <v>0.79</v>
      </c>
      <c r="D540">
        <v>40</v>
      </c>
      <c r="E540" s="5">
        <v>0.6105112125423513</v>
      </c>
      <c r="F540" s="5">
        <v>38.1</v>
      </c>
      <c r="G540" s="5">
        <f t="shared" si="32"/>
        <v>9.6485881630037866</v>
      </c>
      <c r="H540" s="5">
        <f t="shared" si="33"/>
        <v>7.0661019970179542</v>
      </c>
      <c r="I540" s="5">
        <f t="shared" si="34"/>
        <v>6.3274667985444175</v>
      </c>
    </row>
    <row r="541" spans="1:9" x14ac:dyDescent="0.25">
      <c r="A541" t="s">
        <v>307</v>
      </c>
      <c r="B541" t="str">
        <f t="shared" si="31"/>
        <v>Twin140+0.7950</v>
      </c>
      <c r="C541">
        <v>0.79</v>
      </c>
      <c r="D541">
        <v>50</v>
      </c>
      <c r="E541" s="5">
        <v>0.68137412114101703</v>
      </c>
      <c r="F541" s="5">
        <v>40.690800000000003</v>
      </c>
      <c r="G541" s="5">
        <f t="shared" si="32"/>
        <v>10.337811369653814</v>
      </c>
      <c r="H541" s="5">
        <f t="shared" si="33"/>
        <v>7.8862745502432521</v>
      </c>
      <c r="I541" s="5">
        <f t="shared" si="34"/>
        <v>6.5910868052899527</v>
      </c>
    </row>
    <row r="542" spans="1:9" x14ac:dyDescent="0.25">
      <c r="A542" t="s">
        <v>307</v>
      </c>
      <c r="B542" t="str">
        <f t="shared" si="31"/>
        <v>Twin140+0.7960</v>
      </c>
      <c r="C542">
        <v>0.79</v>
      </c>
      <c r="D542">
        <v>60</v>
      </c>
      <c r="E542" s="5">
        <v>0.75223702973968276</v>
      </c>
      <c r="F542" s="5">
        <v>42.976800000000004</v>
      </c>
      <c r="G542" s="5">
        <f t="shared" si="32"/>
        <v>10.94945185526408</v>
      </c>
      <c r="H542" s="5">
        <f t="shared" si="33"/>
        <v>8.70644710346855</v>
      </c>
      <c r="I542" s="5">
        <f t="shared" si="34"/>
        <v>6.8700884727671161</v>
      </c>
    </row>
    <row r="543" spans="1:9" x14ac:dyDescent="0.25">
      <c r="A543" t="s">
        <v>307</v>
      </c>
      <c r="B543" t="str">
        <f t="shared" si="31"/>
        <v>Twin140+0.7970</v>
      </c>
      <c r="C543">
        <v>0.79</v>
      </c>
      <c r="D543">
        <v>70</v>
      </c>
      <c r="E543" s="5">
        <v>0.81219795240009229</v>
      </c>
      <c r="F543" s="5">
        <v>45.262800000000006</v>
      </c>
      <c r="G543" s="5">
        <f t="shared" si="32"/>
        <v>11.564375805338891</v>
      </c>
      <c r="H543" s="5">
        <f t="shared" si="33"/>
        <v>9.4004392638899574</v>
      </c>
      <c r="I543" s="5">
        <f t="shared" si="34"/>
        <v>7.0232753247704673</v>
      </c>
    </row>
    <row r="544" spans="1:9" x14ac:dyDescent="0.25">
      <c r="A544" t="s">
        <v>307</v>
      </c>
      <c r="B544" t="str">
        <f t="shared" si="31"/>
        <v>Twin140+0.7980</v>
      </c>
      <c r="C544">
        <v>0.79</v>
      </c>
      <c r="D544">
        <v>80</v>
      </c>
      <c r="E544" s="5">
        <v>0.86670788209137373</v>
      </c>
      <c r="F544" s="5">
        <v>47.5488</v>
      </c>
      <c r="G544" s="5">
        <f t="shared" si="32"/>
        <v>12.182583219878246</v>
      </c>
      <c r="H544" s="5">
        <f t="shared" si="33"/>
        <v>10.031341227909417</v>
      </c>
      <c r="I544" s="5">
        <f t="shared" si="34"/>
        <v>7.1143194054046912</v>
      </c>
    </row>
    <row r="545" spans="1:9" x14ac:dyDescent="0.25">
      <c r="A545" t="s">
        <v>307</v>
      </c>
      <c r="B545" t="str">
        <f t="shared" si="31"/>
        <v>Twin140+0.7990</v>
      </c>
      <c r="C545">
        <v>0.79</v>
      </c>
      <c r="D545">
        <v>90</v>
      </c>
      <c r="E545" s="5">
        <v>0.92121781178265505</v>
      </c>
      <c r="F545" s="5">
        <v>49.682400000000001</v>
      </c>
      <c r="G545" s="5">
        <f t="shared" si="32"/>
        <v>12.762539221387449</v>
      </c>
      <c r="H545" s="5">
        <f t="shared" si="33"/>
        <v>10.662243191928876</v>
      </c>
      <c r="I545" s="5">
        <f t="shared" si="34"/>
        <v>7.2181389283323751</v>
      </c>
    </row>
    <row r="546" spans="1:9" x14ac:dyDescent="0.25">
      <c r="A546" t="s">
        <v>307</v>
      </c>
      <c r="B546" t="str">
        <f t="shared" si="31"/>
        <v>Twin140+0.79100</v>
      </c>
      <c r="C546">
        <v>0.79</v>
      </c>
      <c r="D546">
        <v>100</v>
      </c>
      <c r="E546" s="5">
        <v>0.97027674850480827</v>
      </c>
      <c r="F546" s="5">
        <v>51.663600000000002</v>
      </c>
      <c r="G546" s="5">
        <f t="shared" si="32"/>
        <v>13.303630896499747</v>
      </c>
      <c r="H546" s="5">
        <f t="shared" si="33"/>
        <v>11.230054959546392</v>
      </c>
      <c r="I546" s="5">
        <f t="shared" si="34"/>
        <v>7.293322823321061</v>
      </c>
    </row>
    <row r="547" spans="1:9" x14ac:dyDescent="0.25">
      <c r="A547" t="s">
        <v>307</v>
      </c>
      <c r="B547" t="str">
        <f t="shared" si="31"/>
        <v>Twin140+0.79110</v>
      </c>
      <c r="C547">
        <v>0.79</v>
      </c>
      <c r="D547">
        <v>110</v>
      </c>
      <c r="E547" s="5">
        <v>1.0138846922578333</v>
      </c>
      <c r="F547" s="5">
        <v>53.492400000000004</v>
      </c>
      <c r="G547" s="5">
        <f t="shared" si="32"/>
        <v>13.805289111374691</v>
      </c>
      <c r="H547" s="5">
        <f t="shared" si="33"/>
        <v>11.734776530761959</v>
      </c>
      <c r="I547" s="5">
        <f t="shared" si="34"/>
        <v>7.3441757291591667</v>
      </c>
    </row>
    <row r="548" spans="1:9" x14ac:dyDescent="0.25">
      <c r="A548" t="s">
        <v>307</v>
      </c>
      <c r="B548" t="str">
        <f t="shared" si="31"/>
        <v>Twin140+0.8330</v>
      </c>
      <c r="C548">
        <v>0.83</v>
      </c>
      <c r="D548">
        <v>30</v>
      </c>
      <c r="E548" s="5">
        <v>0.58325624769671058</v>
      </c>
      <c r="F548" s="5">
        <v>36.576000000000001</v>
      </c>
      <c r="G548" s="5">
        <f t="shared" si="32"/>
        <v>9.2451328260060279</v>
      </c>
      <c r="H548" s="5">
        <f t="shared" si="33"/>
        <v>6.7506510150082244</v>
      </c>
      <c r="I548" s="5">
        <f t="shared" si="34"/>
        <v>6.3087925146520796</v>
      </c>
    </row>
    <row r="549" spans="1:9" x14ac:dyDescent="0.25">
      <c r="A549" t="s">
        <v>307</v>
      </c>
      <c r="B549" t="str">
        <f t="shared" si="31"/>
        <v>Twin140+0.8340</v>
      </c>
      <c r="C549">
        <v>0.83</v>
      </c>
      <c r="D549">
        <v>40</v>
      </c>
      <c r="E549" s="5">
        <v>0.67592312817188882</v>
      </c>
      <c r="F549" s="5">
        <v>39.319200000000002</v>
      </c>
      <c r="G549" s="5">
        <f t="shared" si="32"/>
        <v>9.9724031412306431</v>
      </c>
      <c r="H549" s="5">
        <f t="shared" si="33"/>
        <v>7.8231843538413051</v>
      </c>
      <c r="I549" s="5">
        <f t="shared" si="34"/>
        <v>6.7779362566812216</v>
      </c>
    </row>
    <row r="550" spans="1:9" x14ac:dyDescent="0.25">
      <c r="A550" t="s">
        <v>307</v>
      </c>
      <c r="B550" t="str">
        <f t="shared" ref="B550:B613" si="35">A550&amp;C550&amp;D550</f>
        <v>Twin140+0.8350</v>
      </c>
      <c r="C550">
        <v>0.83</v>
      </c>
      <c r="D550">
        <v>50</v>
      </c>
      <c r="E550" s="5">
        <v>0.75223702973968276</v>
      </c>
      <c r="F550" s="5">
        <v>41.910000000000004</v>
      </c>
      <c r="G550" s="5">
        <f t="shared" si="32"/>
        <v>10.663611019734802</v>
      </c>
      <c r="H550" s="5">
        <f t="shared" si="33"/>
        <v>8.70644710346855</v>
      </c>
      <c r="I550" s="5">
        <f t="shared" si="34"/>
        <v>7.0542429609214166</v>
      </c>
    </row>
    <row r="551" spans="1:9" x14ac:dyDescent="0.25">
      <c r="A551" t="s">
        <v>307</v>
      </c>
      <c r="B551" t="str">
        <f t="shared" si="35"/>
        <v>Twin140+0.8360</v>
      </c>
      <c r="C551">
        <v>0.83</v>
      </c>
      <c r="D551">
        <v>60</v>
      </c>
      <c r="E551" s="5">
        <v>0.8285509313074767</v>
      </c>
      <c r="F551" s="5">
        <v>44.196000000000005</v>
      </c>
      <c r="G551" s="5">
        <f t="shared" si="32"/>
        <v>11.277002686392827</v>
      </c>
      <c r="H551" s="5">
        <f t="shared" si="33"/>
        <v>9.589709853095794</v>
      </c>
      <c r="I551" s="5">
        <f t="shared" si="34"/>
        <v>7.3472619839598989</v>
      </c>
    </row>
    <row r="552" spans="1:9" x14ac:dyDescent="0.25">
      <c r="A552" t="s">
        <v>307</v>
      </c>
      <c r="B552" t="str">
        <f t="shared" si="35"/>
        <v>Twin140+0.8370</v>
      </c>
      <c r="C552">
        <v>0.83</v>
      </c>
      <c r="D552">
        <v>70</v>
      </c>
      <c r="E552" s="5">
        <v>0.89396284693701444</v>
      </c>
      <c r="F552" s="5">
        <v>46.634399999999999</v>
      </c>
      <c r="G552" s="5">
        <f t="shared" si="32"/>
        <v>11.934906238326754</v>
      </c>
      <c r="H552" s="5">
        <f t="shared" si="33"/>
        <v>10.346792209919148</v>
      </c>
      <c r="I552" s="5">
        <f t="shared" si="34"/>
        <v>7.4903214913093947</v>
      </c>
    </row>
    <row r="553" spans="1:9" x14ac:dyDescent="0.25">
      <c r="A553" t="s">
        <v>307</v>
      </c>
      <c r="B553" t="str">
        <f t="shared" si="35"/>
        <v>Twin140+0.8380</v>
      </c>
      <c r="C553">
        <v>0.83</v>
      </c>
      <c r="D553">
        <v>80</v>
      </c>
      <c r="E553" s="5">
        <v>0.95392376959742375</v>
      </c>
      <c r="F553" s="5">
        <v>48.920400000000001</v>
      </c>
      <c r="G553" s="5">
        <f t="shared" si="32"/>
        <v>12.55508373154484</v>
      </c>
      <c r="H553" s="5">
        <f t="shared" si="33"/>
        <v>11.040784370340551</v>
      </c>
      <c r="I553" s="5">
        <f t="shared" si="34"/>
        <v>7.5979084647653572</v>
      </c>
    </row>
    <row r="554" spans="1:9" x14ac:dyDescent="0.25">
      <c r="A554" t="s">
        <v>307</v>
      </c>
      <c r="B554" t="str">
        <f t="shared" si="35"/>
        <v>Twin140+0.8390</v>
      </c>
      <c r="C554">
        <v>0.83</v>
      </c>
      <c r="D554">
        <v>90</v>
      </c>
      <c r="E554" s="5">
        <v>1.0138846922578333</v>
      </c>
      <c r="F554" s="5">
        <v>51.054000000000002</v>
      </c>
      <c r="G554" s="5">
        <f t="shared" si="32"/>
        <v>13.136878473154184</v>
      </c>
      <c r="H554" s="5">
        <f t="shared" si="33"/>
        <v>11.734776530761959</v>
      </c>
      <c r="I554" s="5">
        <f t="shared" si="34"/>
        <v>7.7178508907557717</v>
      </c>
    </row>
    <row r="555" spans="1:9" x14ac:dyDescent="0.25">
      <c r="A555" t="s">
        <v>307</v>
      </c>
      <c r="B555" t="str">
        <f t="shared" si="35"/>
        <v>Twin140+0.83100</v>
      </c>
      <c r="C555">
        <v>0.83</v>
      </c>
      <c r="D555">
        <v>100</v>
      </c>
      <c r="E555" s="5">
        <v>1.0683946219491147</v>
      </c>
      <c r="F555" s="5">
        <v>53.035200000000003</v>
      </c>
      <c r="G555" s="5">
        <f t="shared" si="32"/>
        <v>13.679677549788082</v>
      </c>
      <c r="H555" s="5">
        <f t="shared" si="33"/>
        <v>12.36567849478142</v>
      </c>
      <c r="I555" s="5">
        <f t="shared" si="34"/>
        <v>7.8100862981647232</v>
      </c>
    </row>
    <row r="556" spans="1:9" x14ac:dyDescent="0.25">
      <c r="A556" t="s">
        <v>307</v>
      </c>
      <c r="B556" t="str">
        <f t="shared" si="35"/>
        <v>Twin140+0.83110</v>
      </c>
      <c r="C556">
        <v>0.83</v>
      </c>
      <c r="D556">
        <v>110</v>
      </c>
      <c r="E556" s="5">
        <v>1.1174535586712679</v>
      </c>
      <c r="F556" s="5">
        <v>54.864000000000004</v>
      </c>
      <c r="G556" s="5">
        <f t="shared" si="32"/>
        <v>14.182911827605992</v>
      </c>
      <c r="H556" s="5">
        <f t="shared" si="33"/>
        <v>12.933490262398934</v>
      </c>
      <c r="I556" s="5">
        <f t="shared" si="34"/>
        <v>7.8788726338707624</v>
      </c>
    </row>
    <row r="557" spans="1:9" x14ac:dyDescent="0.25">
      <c r="A557" t="s">
        <v>307</v>
      </c>
      <c r="B557" t="str">
        <f t="shared" si="35"/>
        <v>Twin140+0.8730</v>
      </c>
      <c r="C557">
        <v>0.87</v>
      </c>
      <c r="D557">
        <v>30</v>
      </c>
      <c r="E557" s="5">
        <v>0.64321717035712012</v>
      </c>
      <c r="F557" s="5">
        <v>37.642800000000001</v>
      </c>
      <c r="G557" s="5">
        <f t="shared" si="32"/>
        <v>9.5273983335627648</v>
      </c>
      <c r="H557" s="5">
        <f t="shared" si="33"/>
        <v>7.4446431754296309</v>
      </c>
      <c r="I557" s="5">
        <f t="shared" si="34"/>
        <v>6.7512362539857138</v>
      </c>
    </row>
    <row r="558" spans="1:9" x14ac:dyDescent="0.25">
      <c r="A558" t="s">
        <v>307</v>
      </c>
      <c r="B558" t="str">
        <f t="shared" si="35"/>
        <v>Twin140+0.8740</v>
      </c>
      <c r="C558">
        <v>0.87</v>
      </c>
      <c r="D558">
        <v>40</v>
      </c>
      <c r="E558" s="5">
        <v>0.74133504380142656</v>
      </c>
      <c r="F558" s="5">
        <v>40.386000000000003</v>
      </c>
      <c r="G558" s="5">
        <f t="shared" si="32"/>
        <v>10.256507388887542</v>
      </c>
      <c r="H558" s="5">
        <f t="shared" si="33"/>
        <v>8.5802667106646595</v>
      </c>
      <c r="I558" s="5">
        <f t="shared" si="34"/>
        <v>7.2279482253835194</v>
      </c>
    </row>
    <row r="559" spans="1:9" x14ac:dyDescent="0.25">
      <c r="A559" t="s">
        <v>307</v>
      </c>
      <c r="B559" t="str">
        <f t="shared" si="35"/>
        <v>Twin140+0.8750</v>
      </c>
      <c r="C559">
        <v>0.87</v>
      </c>
      <c r="D559">
        <v>50</v>
      </c>
      <c r="E559" s="5">
        <v>0.8285509313074767</v>
      </c>
      <c r="F559" s="5">
        <v>43.129200000000004</v>
      </c>
      <c r="G559" s="5">
        <f t="shared" si="32"/>
        <v>10.990344633041275</v>
      </c>
      <c r="H559" s="5">
        <f t="shared" si="33"/>
        <v>9.589709853095794</v>
      </c>
      <c r="I559" s="5">
        <f t="shared" si="34"/>
        <v>7.5388985420578036</v>
      </c>
    </row>
    <row r="560" spans="1:9" x14ac:dyDescent="0.25">
      <c r="A560" t="s">
        <v>307</v>
      </c>
      <c r="B560" t="str">
        <f t="shared" si="35"/>
        <v>Twin140+0.8760</v>
      </c>
      <c r="C560">
        <v>0.87</v>
      </c>
      <c r="D560">
        <v>60</v>
      </c>
      <c r="E560" s="5">
        <v>0.91031582584439885</v>
      </c>
      <c r="F560" s="5">
        <v>45.415200000000006</v>
      </c>
      <c r="G560" s="5">
        <f t="shared" si="32"/>
        <v>11.605487480747058</v>
      </c>
      <c r="H560" s="5">
        <f t="shared" si="33"/>
        <v>10.536062799124986</v>
      </c>
      <c r="I560" s="5">
        <f t="shared" si="34"/>
        <v>7.8438396263368402</v>
      </c>
    </row>
    <row r="561" spans="1:9" x14ac:dyDescent="0.25">
      <c r="A561" t="s">
        <v>307</v>
      </c>
      <c r="B561" t="str">
        <f t="shared" si="35"/>
        <v>Twin140+0.8770</v>
      </c>
      <c r="C561">
        <v>0.87</v>
      </c>
      <c r="D561">
        <v>70</v>
      </c>
      <c r="E561" s="5">
        <v>0.98117873444306447</v>
      </c>
      <c r="F561" s="5">
        <v>47.8536</v>
      </c>
      <c r="G561" s="5">
        <f t="shared" si="32"/>
        <v>12.265258959131927</v>
      </c>
      <c r="H561" s="5">
        <f t="shared" si="33"/>
        <v>11.356235352350282</v>
      </c>
      <c r="I561" s="5">
        <f t="shared" si="34"/>
        <v>7.9996577138107758</v>
      </c>
    </row>
    <row r="562" spans="1:9" x14ac:dyDescent="0.25">
      <c r="A562" t="s">
        <v>307</v>
      </c>
      <c r="B562" t="str">
        <f t="shared" si="35"/>
        <v>Twin140+0.8780</v>
      </c>
      <c r="C562">
        <v>0.87</v>
      </c>
      <c r="D562">
        <v>80</v>
      </c>
      <c r="E562" s="5">
        <v>1.0465906500726021</v>
      </c>
      <c r="F562" s="5">
        <v>50.139600000000002</v>
      </c>
      <c r="G562" s="5">
        <f t="shared" si="32"/>
        <v>12.887187633397765</v>
      </c>
      <c r="H562" s="5">
        <f t="shared" si="33"/>
        <v>12.113317709173634</v>
      </c>
      <c r="I562" s="5">
        <f t="shared" si="34"/>
        <v>8.1211718168851075</v>
      </c>
    </row>
    <row r="563" spans="1:9" x14ac:dyDescent="0.25">
      <c r="A563" t="s">
        <v>307</v>
      </c>
      <c r="B563" t="str">
        <f t="shared" si="35"/>
        <v>Twin140+0.8790</v>
      </c>
      <c r="C563">
        <v>0.87</v>
      </c>
      <c r="D563">
        <v>90</v>
      </c>
      <c r="E563" s="5">
        <v>1.1120025657021397</v>
      </c>
      <c r="F563" s="5">
        <v>52.273200000000003</v>
      </c>
      <c r="G563" s="5">
        <f t="shared" si="32"/>
        <v>13.470616810651691</v>
      </c>
      <c r="H563" s="5">
        <f t="shared" si="33"/>
        <v>12.870400065996987</v>
      </c>
      <c r="I563" s="5">
        <f t="shared" si="34"/>
        <v>8.2550233692553725</v>
      </c>
    </row>
    <row r="564" spans="1:9" x14ac:dyDescent="0.25">
      <c r="A564" t="s">
        <v>307</v>
      </c>
      <c r="B564" t="str">
        <f t="shared" si="35"/>
        <v>Twin140+0.87100</v>
      </c>
      <c r="C564">
        <v>0.87</v>
      </c>
      <c r="D564">
        <v>100</v>
      </c>
      <c r="E564" s="5">
        <v>1.1719634883625494</v>
      </c>
      <c r="F564" s="5">
        <v>54.406800000000004</v>
      </c>
      <c r="G564" s="5">
        <f t="shared" si="32"/>
        <v>14.056906250283632</v>
      </c>
      <c r="H564" s="5">
        <f t="shared" si="33"/>
        <v>13.564392226418395</v>
      </c>
      <c r="I564" s="5">
        <f t="shared" si="34"/>
        <v>8.3372789680439254</v>
      </c>
    </row>
    <row r="565" spans="1:9" x14ac:dyDescent="0.25">
      <c r="A565" t="s">
        <v>307</v>
      </c>
      <c r="B565" t="str">
        <f t="shared" si="35"/>
        <v>Twin140+0.87110</v>
      </c>
      <c r="C565">
        <v>0.87</v>
      </c>
      <c r="D565">
        <v>110</v>
      </c>
      <c r="E565" s="5">
        <v>1.2264734180538308</v>
      </c>
      <c r="F565" s="5">
        <v>56.235600000000005</v>
      </c>
      <c r="G565" s="5">
        <f t="shared" si="32"/>
        <v>14.561716591044522</v>
      </c>
      <c r="H565" s="5">
        <f t="shared" si="33"/>
        <v>14.195294190437856</v>
      </c>
      <c r="I565" s="5">
        <f t="shared" si="34"/>
        <v>8.4225881638715165</v>
      </c>
    </row>
    <row r="566" spans="1:9" x14ac:dyDescent="0.25">
      <c r="A566" t="s">
        <v>307</v>
      </c>
      <c r="B566" t="str">
        <f t="shared" si="35"/>
        <v>Twin140+0.9130</v>
      </c>
      <c r="C566">
        <v>0.91</v>
      </c>
      <c r="D566">
        <v>30</v>
      </c>
      <c r="E566" s="5">
        <v>0.70317809301752954</v>
      </c>
      <c r="F566" s="5">
        <v>38.709600000000002</v>
      </c>
      <c r="G566" s="5">
        <f t="shared" si="32"/>
        <v>9.8103789067140283</v>
      </c>
      <c r="H566" s="5">
        <f t="shared" si="33"/>
        <v>8.1386353358510366</v>
      </c>
      <c r="I566" s="5">
        <f t="shared" si="34"/>
        <v>7.1676955569604806</v>
      </c>
    </row>
    <row r="567" spans="1:9" x14ac:dyDescent="0.25">
      <c r="A567" t="s">
        <v>307</v>
      </c>
      <c r="B567" t="str">
        <f t="shared" si="35"/>
        <v>Twin140+0.9140</v>
      </c>
      <c r="C567">
        <v>0.91</v>
      </c>
      <c r="D567">
        <v>40</v>
      </c>
      <c r="E567" s="5">
        <v>0.81219795240009229</v>
      </c>
      <c r="F567" s="5">
        <v>41.452800000000003</v>
      </c>
      <c r="G567" s="5">
        <f t="shared" si="32"/>
        <v>10.541326702138953</v>
      </c>
      <c r="H567" s="5">
        <f t="shared" si="33"/>
        <v>9.4004392638899574</v>
      </c>
      <c r="I567" s="5">
        <f t="shared" si="34"/>
        <v>7.7048930874639172</v>
      </c>
    </row>
    <row r="568" spans="1:9" x14ac:dyDescent="0.25">
      <c r="A568" t="s">
        <v>307</v>
      </c>
      <c r="B568" t="str">
        <f t="shared" si="35"/>
        <v>Twin140+0.9150</v>
      </c>
      <c r="C568">
        <v>0.91</v>
      </c>
      <c r="D568">
        <v>50</v>
      </c>
      <c r="E568" s="5">
        <v>0.90486483287527064</v>
      </c>
      <c r="F568" s="5">
        <v>44.500800000000005</v>
      </c>
      <c r="G568" s="5">
        <f t="shared" si="32"/>
        <v>11.359036325928997</v>
      </c>
      <c r="H568" s="5">
        <f t="shared" si="33"/>
        <v>10.47297260272304</v>
      </c>
      <c r="I568" s="5">
        <f t="shared" si="34"/>
        <v>7.966035206787371</v>
      </c>
    </row>
    <row r="569" spans="1:9" x14ac:dyDescent="0.25">
      <c r="A569" t="s">
        <v>307</v>
      </c>
      <c r="B569" t="str">
        <f t="shared" si="35"/>
        <v>Twin140+0.9160</v>
      </c>
      <c r="C569">
        <v>0.91</v>
      </c>
      <c r="D569">
        <v>60</v>
      </c>
      <c r="E569" s="5">
        <v>0.99208072038132078</v>
      </c>
      <c r="F569" s="5">
        <v>46.786799999999999</v>
      </c>
      <c r="G569" s="5">
        <f t="shared" si="32"/>
        <v>11.976149252313498</v>
      </c>
      <c r="H569" s="5">
        <f t="shared" si="33"/>
        <v>11.482415745154174</v>
      </c>
      <c r="I569" s="5">
        <f t="shared" si="34"/>
        <v>8.2838039129286507</v>
      </c>
    </row>
    <row r="570" spans="1:9" x14ac:dyDescent="0.25">
      <c r="A570" t="s">
        <v>307</v>
      </c>
      <c r="B570" t="str">
        <f t="shared" si="35"/>
        <v>Twin140+0.9170</v>
      </c>
      <c r="C570">
        <v>0.91</v>
      </c>
      <c r="D570">
        <v>70</v>
      </c>
      <c r="E570" s="5">
        <v>1.0683946219491147</v>
      </c>
      <c r="F570" s="5">
        <v>48.615600000000001</v>
      </c>
      <c r="G570" s="5">
        <f t="shared" si="32"/>
        <v>12.472203687835574</v>
      </c>
      <c r="H570" s="5">
        <f t="shared" si="33"/>
        <v>12.36567849478142</v>
      </c>
      <c r="I570" s="5">
        <f t="shared" si="34"/>
        <v>8.5662056897863561</v>
      </c>
    </row>
    <row r="571" spans="1:9" x14ac:dyDescent="0.25">
      <c r="A571" t="s">
        <v>307</v>
      </c>
      <c r="B571" t="str">
        <f t="shared" si="35"/>
        <v>Twin140+0.9180</v>
      </c>
      <c r="C571">
        <v>0.91</v>
      </c>
      <c r="D571">
        <v>80</v>
      </c>
      <c r="E571" s="5">
        <v>1.1447085235169085</v>
      </c>
      <c r="F571" s="5">
        <v>51.358800000000002</v>
      </c>
      <c r="G571" s="5">
        <f t="shared" si="32"/>
        <v>13.220225498476168</v>
      </c>
      <c r="H571" s="5">
        <f t="shared" si="33"/>
        <v>13.248941244408662</v>
      </c>
      <c r="I571" s="5">
        <f t="shared" si="34"/>
        <v>8.6587670055163102</v>
      </c>
    </row>
    <row r="572" spans="1:9" x14ac:dyDescent="0.25">
      <c r="A572" t="s">
        <v>307</v>
      </c>
      <c r="B572" t="str">
        <f t="shared" si="35"/>
        <v>Twin140+0.9190</v>
      </c>
      <c r="C572">
        <v>0.91</v>
      </c>
      <c r="D572">
        <v>90</v>
      </c>
      <c r="E572" s="5">
        <v>1.2155714321155744</v>
      </c>
      <c r="F572" s="5">
        <v>53.492400000000004</v>
      </c>
      <c r="G572" s="5">
        <f t="shared" si="32"/>
        <v>13.805289111374691</v>
      </c>
      <c r="H572" s="5">
        <f t="shared" si="33"/>
        <v>14.069113797633962</v>
      </c>
      <c r="I572" s="5">
        <f t="shared" si="34"/>
        <v>8.8051139118413673</v>
      </c>
    </row>
    <row r="573" spans="1:9" x14ac:dyDescent="0.25">
      <c r="A573" t="s">
        <v>307</v>
      </c>
      <c r="B573" t="str">
        <f t="shared" si="35"/>
        <v>Twin140+0.91100</v>
      </c>
      <c r="C573">
        <v>0.91</v>
      </c>
      <c r="D573">
        <v>100</v>
      </c>
      <c r="E573" s="5">
        <v>1.280983347745112</v>
      </c>
      <c r="F573" s="5">
        <v>55.778400000000005</v>
      </c>
      <c r="G573" s="5">
        <f t="shared" si="32"/>
        <v>14.435316997986448</v>
      </c>
      <c r="H573" s="5">
        <f t="shared" si="33"/>
        <v>14.826196154457314</v>
      </c>
      <c r="I573" s="5">
        <f t="shared" si="34"/>
        <v>8.8739537062039844</v>
      </c>
    </row>
    <row r="574" spans="1:9" x14ac:dyDescent="0.25">
      <c r="A574" t="s">
        <v>307</v>
      </c>
      <c r="B574" t="str">
        <f t="shared" si="35"/>
        <v>Twin140+0.91110</v>
      </c>
      <c r="C574">
        <v>0.91</v>
      </c>
      <c r="D574">
        <v>110</v>
      </c>
      <c r="E574" s="5">
        <v>1.3409442704055214</v>
      </c>
      <c r="F574" s="5">
        <v>57.759600000000006</v>
      </c>
      <c r="G574" s="5">
        <f t="shared" si="32"/>
        <v>14.983997124305716</v>
      </c>
      <c r="H574" s="5">
        <f t="shared" si="33"/>
        <v>15.52018831487872</v>
      </c>
      <c r="I574" s="5">
        <f t="shared" si="34"/>
        <v>8.9491759727473532</v>
      </c>
    </row>
    <row r="575" spans="1:9" x14ac:dyDescent="0.25">
      <c r="A575" t="s">
        <v>307</v>
      </c>
      <c r="B575" t="str">
        <f t="shared" si="35"/>
        <v>Twin140+0.9430</v>
      </c>
      <c r="C575">
        <v>0.94</v>
      </c>
      <c r="D575">
        <v>30</v>
      </c>
      <c r="E575" s="5">
        <v>0.76313901567793907</v>
      </c>
      <c r="F575" s="5">
        <v>39.624000000000002</v>
      </c>
      <c r="G575" s="5">
        <f t="shared" si="32"/>
        <v>10.053502817541336</v>
      </c>
      <c r="H575" s="5">
        <f t="shared" si="33"/>
        <v>8.8326274962724423</v>
      </c>
      <c r="I575" s="5">
        <f t="shared" si="34"/>
        <v>7.5907773591749068</v>
      </c>
    </row>
    <row r="576" spans="1:9" x14ac:dyDescent="0.25">
      <c r="A576" t="s">
        <v>307</v>
      </c>
      <c r="B576" t="str">
        <f t="shared" si="35"/>
        <v>Twin140+0.9440</v>
      </c>
      <c r="C576">
        <v>0.94</v>
      </c>
      <c r="D576">
        <v>40</v>
      </c>
      <c r="E576" s="5">
        <v>0.88306086099875813</v>
      </c>
      <c r="F576" s="5">
        <v>42.519600000000004</v>
      </c>
      <c r="G576" s="5">
        <f t="shared" si="32"/>
        <v>10.826861080984862</v>
      </c>
      <c r="H576" s="5">
        <f t="shared" si="33"/>
        <v>10.220611817115255</v>
      </c>
      <c r="I576" s="5">
        <f t="shared" si="34"/>
        <v>8.1562038562559138</v>
      </c>
    </row>
    <row r="577" spans="1:9" x14ac:dyDescent="0.25">
      <c r="A577" t="s">
        <v>307</v>
      </c>
      <c r="B577" t="str">
        <f t="shared" si="35"/>
        <v>Twin140+0.9450</v>
      </c>
      <c r="C577">
        <v>0.94</v>
      </c>
      <c r="D577">
        <v>50</v>
      </c>
      <c r="E577" s="5">
        <v>0.98662972741219268</v>
      </c>
      <c r="F577" s="5">
        <v>45.72</v>
      </c>
      <c r="G577" s="5">
        <f t="shared" si="32"/>
        <v>11.687754611089588</v>
      </c>
      <c r="H577" s="5">
        <f t="shared" si="33"/>
        <v>11.41932554875223</v>
      </c>
      <c r="I577" s="5">
        <f t="shared" si="34"/>
        <v>8.4415677796320061</v>
      </c>
    </row>
    <row r="578" spans="1:9" x14ac:dyDescent="0.25">
      <c r="A578" t="s">
        <v>307</v>
      </c>
      <c r="B578" t="str">
        <f t="shared" si="35"/>
        <v>Twin140+0.9460</v>
      </c>
      <c r="C578">
        <v>0.94</v>
      </c>
      <c r="D578">
        <v>60</v>
      </c>
      <c r="E578" s="5">
        <v>1.0792966078873709</v>
      </c>
      <c r="F578" s="5">
        <v>48.006</v>
      </c>
      <c r="G578" s="5">
        <f t="shared" si="32"/>
        <v>12.306618718521854</v>
      </c>
      <c r="H578" s="5">
        <f t="shared" si="33"/>
        <v>12.491858887585311</v>
      </c>
      <c r="I578" s="5">
        <f t="shared" si="34"/>
        <v>8.7700499428246292</v>
      </c>
    </row>
    <row r="579" spans="1:9" x14ac:dyDescent="0.25">
      <c r="A579" t="s">
        <v>307</v>
      </c>
      <c r="B579" t="str">
        <f t="shared" si="35"/>
        <v>Twin140+0.9470</v>
      </c>
      <c r="C579">
        <v>0.94</v>
      </c>
      <c r="D579">
        <v>70</v>
      </c>
      <c r="E579" s="5">
        <v>1.1665124953934212</v>
      </c>
      <c r="F579" s="5">
        <v>49.225200000000001</v>
      </c>
      <c r="G579" s="5">
        <f t="shared" ref="G579:G642" si="36">(PI()*(G$1+F579)^2)/10000-((PI()*(G$1)^2)/10000)</f>
        <v>12.638022147955681</v>
      </c>
      <c r="H579" s="5">
        <f t="shared" ref="H579:H642" si="37">E579/0.0864</f>
        <v>13.501302030016449</v>
      </c>
      <c r="I579" s="5">
        <f t="shared" ref="I579:I642" si="38">E579/G579*100</f>
        <v>9.2301823951314681</v>
      </c>
    </row>
    <row r="580" spans="1:9" x14ac:dyDescent="0.25">
      <c r="A580" t="s">
        <v>307</v>
      </c>
      <c r="B580" t="str">
        <f t="shared" si="35"/>
        <v>Twin140+0.9480</v>
      </c>
      <c r="C580">
        <v>0.94</v>
      </c>
      <c r="D580">
        <v>80</v>
      </c>
      <c r="E580" s="5">
        <v>1.2482773899303432</v>
      </c>
      <c r="F580" s="5">
        <v>52.425600000000003</v>
      </c>
      <c r="G580" s="5">
        <f t="shared" si="36"/>
        <v>13.512399772128191</v>
      </c>
      <c r="H580" s="5">
        <f t="shared" si="37"/>
        <v>14.447654976045639</v>
      </c>
      <c r="I580" s="5">
        <f t="shared" si="38"/>
        <v>9.2380140536186985</v>
      </c>
    </row>
    <row r="581" spans="1:9" x14ac:dyDescent="0.25">
      <c r="A581" t="s">
        <v>307</v>
      </c>
      <c r="B581" t="str">
        <f t="shared" si="35"/>
        <v>Twin140+0.9490</v>
      </c>
      <c r="C581">
        <v>0.94</v>
      </c>
      <c r="D581">
        <v>90</v>
      </c>
      <c r="E581" s="5">
        <v>1.3245912914981373</v>
      </c>
      <c r="F581" s="5">
        <v>54.711600000000004</v>
      </c>
      <c r="G581" s="5">
        <f t="shared" si="36"/>
        <v>14.140895375323126</v>
      </c>
      <c r="H581" s="5">
        <f t="shared" si="37"/>
        <v>15.330917725672885</v>
      </c>
      <c r="I581" s="5">
        <f t="shared" si="38"/>
        <v>9.3670963283530391</v>
      </c>
    </row>
    <row r="582" spans="1:9" x14ac:dyDescent="0.25">
      <c r="A582" t="s">
        <v>307</v>
      </c>
      <c r="B582" t="str">
        <f t="shared" si="35"/>
        <v>Twin140+0.94100</v>
      </c>
      <c r="C582">
        <v>0.94</v>
      </c>
      <c r="D582">
        <v>100</v>
      </c>
      <c r="E582" s="5">
        <v>1.3954542000968029</v>
      </c>
      <c r="F582" s="5">
        <v>56.997600000000006</v>
      </c>
      <c r="G582" s="5">
        <f t="shared" si="36"/>
        <v>14.772674442982655</v>
      </c>
      <c r="H582" s="5">
        <f t="shared" si="37"/>
        <v>16.151090278898181</v>
      </c>
      <c r="I582" s="5">
        <f t="shared" si="38"/>
        <v>9.4461852894867935</v>
      </c>
    </row>
    <row r="583" spans="1:9" x14ac:dyDescent="0.25">
      <c r="A583" t="s">
        <v>307</v>
      </c>
      <c r="B583" t="str">
        <f t="shared" si="35"/>
        <v>Twin140+0.94110</v>
      </c>
      <c r="C583">
        <v>0.94</v>
      </c>
      <c r="D583">
        <v>110</v>
      </c>
      <c r="E583" s="5">
        <v>1.4608661157263405</v>
      </c>
      <c r="F583" s="5">
        <v>59.1312</v>
      </c>
      <c r="G583" s="5">
        <f t="shared" si="36"/>
        <v>15.365297320737312</v>
      </c>
      <c r="H583" s="5">
        <f t="shared" si="37"/>
        <v>16.908172635721535</v>
      </c>
      <c r="I583" s="5">
        <f t="shared" si="38"/>
        <v>9.5075681598085726</v>
      </c>
    </row>
    <row r="584" spans="1:9" x14ac:dyDescent="0.25">
      <c r="A584" t="s">
        <v>307</v>
      </c>
      <c r="B584" t="str">
        <f t="shared" si="35"/>
        <v>Twin140+1.0230</v>
      </c>
      <c r="C584">
        <v>1.02</v>
      </c>
      <c r="D584">
        <v>30</v>
      </c>
      <c r="E584" s="5">
        <v>0.89396284693701444</v>
      </c>
      <c r="F584" s="5">
        <v>41.910000000000004</v>
      </c>
      <c r="G584" s="5">
        <f t="shared" si="36"/>
        <v>10.663611019734802</v>
      </c>
      <c r="H584" s="5">
        <f t="shared" si="37"/>
        <v>10.346792209919148</v>
      </c>
      <c r="I584" s="5">
        <f t="shared" si="38"/>
        <v>8.3833032289211058</v>
      </c>
    </row>
    <row r="585" spans="1:9" x14ac:dyDescent="0.25">
      <c r="A585" t="s">
        <v>307</v>
      </c>
      <c r="B585" t="str">
        <f t="shared" si="35"/>
        <v>Twin140+1.0240</v>
      </c>
      <c r="C585">
        <v>1.02</v>
      </c>
      <c r="D585">
        <v>40</v>
      </c>
      <c r="E585" s="5">
        <v>1.0356886641343459</v>
      </c>
      <c r="F585" s="5">
        <v>44.653200000000005</v>
      </c>
      <c r="G585" s="5">
        <f t="shared" si="36"/>
        <v>11.400075035460176</v>
      </c>
      <c r="H585" s="5">
        <f t="shared" si="37"/>
        <v>11.987137316369743</v>
      </c>
      <c r="I585" s="5">
        <f t="shared" si="38"/>
        <v>9.0849284843548332</v>
      </c>
    </row>
    <row r="586" spans="1:9" x14ac:dyDescent="0.25">
      <c r="A586" t="s">
        <v>307</v>
      </c>
      <c r="B586" t="str">
        <f t="shared" si="35"/>
        <v>Twin140+1.0250</v>
      </c>
      <c r="C586">
        <v>1.02</v>
      </c>
      <c r="D586">
        <v>50</v>
      </c>
      <c r="E586" s="5">
        <v>1.155610509455165</v>
      </c>
      <c r="F586" s="5">
        <v>48.006</v>
      </c>
      <c r="G586" s="5">
        <f t="shared" si="36"/>
        <v>12.306618718521854</v>
      </c>
      <c r="H586" s="5">
        <f t="shared" si="37"/>
        <v>13.375121637212557</v>
      </c>
      <c r="I586" s="5">
        <f t="shared" si="38"/>
        <v>9.3901544842364721</v>
      </c>
    </row>
    <row r="587" spans="1:9" x14ac:dyDescent="0.25">
      <c r="A587" t="s">
        <v>307</v>
      </c>
      <c r="B587" t="str">
        <f t="shared" si="35"/>
        <v>Twin140+1.0260</v>
      </c>
      <c r="C587">
        <v>1.02</v>
      </c>
      <c r="D587">
        <v>60</v>
      </c>
      <c r="E587" s="5">
        <v>1.2700813618068558</v>
      </c>
      <c r="F587" s="5">
        <v>50.444400000000002</v>
      </c>
      <c r="G587" s="5">
        <f t="shared" si="36"/>
        <v>12.970359540614986</v>
      </c>
      <c r="H587" s="5">
        <f t="shared" si="37"/>
        <v>14.700015761653423</v>
      </c>
      <c r="I587" s="5">
        <f t="shared" si="38"/>
        <v>9.7921831529015222</v>
      </c>
    </row>
    <row r="588" spans="1:9" x14ac:dyDescent="0.25">
      <c r="A588" t="s">
        <v>307</v>
      </c>
      <c r="B588" t="str">
        <f t="shared" si="35"/>
        <v>Twin140+1.0270</v>
      </c>
      <c r="C588">
        <v>1.02</v>
      </c>
      <c r="D588">
        <v>70</v>
      </c>
      <c r="E588" s="5">
        <v>1.368199235251162</v>
      </c>
      <c r="F588" s="5">
        <v>52.882800000000003</v>
      </c>
      <c r="G588" s="5">
        <f t="shared" si="36"/>
        <v>13.637836215609994</v>
      </c>
      <c r="H588" s="5">
        <f t="shared" si="37"/>
        <v>15.835639296888449</v>
      </c>
      <c r="I588" s="5">
        <f t="shared" si="38"/>
        <v>10.032377670624234</v>
      </c>
    </row>
    <row r="589" spans="1:9" x14ac:dyDescent="0.25">
      <c r="A589" t="s">
        <v>307</v>
      </c>
      <c r="B589" t="str">
        <f t="shared" si="35"/>
        <v>Twin140+1.0280</v>
      </c>
      <c r="C589">
        <v>1.02</v>
      </c>
      <c r="D589">
        <v>80</v>
      </c>
      <c r="E589" s="5">
        <v>1.4663171086954685</v>
      </c>
      <c r="F589" s="5">
        <v>55.016400000000004</v>
      </c>
      <c r="G589" s="5">
        <f t="shared" si="36"/>
        <v>14.224942873064229</v>
      </c>
      <c r="H589" s="5">
        <f t="shared" si="37"/>
        <v>16.971262832123475</v>
      </c>
      <c r="I589" s="5">
        <f t="shared" si="38"/>
        <v>10.308070280352597</v>
      </c>
    </row>
    <row r="590" spans="1:9" x14ac:dyDescent="0.25">
      <c r="A590" t="s">
        <v>307</v>
      </c>
      <c r="B590" t="str">
        <f t="shared" si="35"/>
        <v>Twin140+1.0290</v>
      </c>
      <c r="C590">
        <v>1.02</v>
      </c>
      <c r="D590">
        <v>90</v>
      </c>
      <c r="E590" s="5">
        <v>1.5535329962015187</v>
      </c>
      <c r="F590" s="5">
        <v>57.302400000000006</v>
      </c>
      <c r="G590" s="5">
        <f t="shared" si="36"/>
        <v>14.857159735985704</v>
      </c>
      <c r="H590" s="5">
        <f t="shared" si="37"/>
        <v>17.980705974554613</v>
      </c>
      <c r="I590" s="5">
        <f t="shared" si="38"/>
        <v>10.456460210484835</v>
      </c>
    </row>
    <row r="591" spans="1:9" x14ac:dyDescent="0.25">
      <c r="A591" t="s">
        <v>307</v>
      </c>
      <c r="B591" t="str">
        <f t="shared" si="35"/>
        <v>Twin140+1.02100</v>
      </c>
      <c r="C591">
        <v>1.02</v>
      </c>
      <c r="D591">
        <v>100</v>
      </c>
      <c r="E591" s="5">
        <v>1.635297890738441</v>
      </c>
      <c r="F591" s="5">
        <v>59.436</v>
      </c>
      <c r="G591" s="5">
        <f t="shared" si="36"/>
        <v>15.450191222651497</v>
      </c>
      <c r="H591" s="5">
        <f t="shared" si="37"/>
        <v>18.927058920583807</v>
      </c>
      <c r="I591" s="5">
        <f t="shared" si="38"/>
        <v>10.58432136646266</v>
      </c>
    </row>
    <row r="592" spans="1:9" x14ac:dyDescent="0.25">
      <c r="A592" t="s">
        <v>307</v>
      </c>
      <c r="B592" t="str">
        <f t="shared" si="35"/>
        <v>Twin140+1.02110</v>
      </c>
      <c r="C592">
        <v>1.02</v>
      </c>
      <c r="D592">
        <v>110</v>
      </c>
      <c r="E592" s="5">
        <v>1.717062785275363</v>
      </c>
      <c r="F592" s="5">
        <v>61.569600000000001</v>
      </c>
      <c r="G592" s="5">
        <f t="shared" si="36"/>
        <v>16.04608297169532</v>
      </c>
      <c r="H592" s="5">
        <f t="shared" si="37"/>
        <v>19.873411866612997</v>
      </c>
      <c r="I592" s="5">
        <f t="shared" si="38"/>
        <v>10.700822052984497</v>
      </c>
    </row>
    <row r="593" spans="1:9" x14ac:dyDescent="0.25">
      <c r="A593" t="s">
        <v>307</v>
      </c>
      <c r="B593" t="str">
        <f t="shared" si="35"/>
        <v>Twin140+1.130</v>
      </c>
      <c r="C593">
        <v>1.1000000000000001</v>
      </c>
      <c r="D593">
        <v>30</v>
      </c>
      <c r="E593" s="5">
        <v>1.0411396571034741</v>
      </c>
      <c r="F593" s="5">
        <v>43.586400000000005</v>
      </c>
      <c r="G593" s="5">
        <f t="shared" si="36"/>
        <v>11.113110525425263</v>
      </c>
      <c r="H593" s="5">
        <f t="shared" si="37"/>
        <v>12.050227512771691</v>
      </c>
      <c r="I593" s="5">
        <f t="shared" si="38"/>
        <v>9.3685710649731266</v>
      </c>
    </row>
    <row r="594" spans="1:9" x14ac:dyDescent="0.25">
      <c r="A594" t="s">
        <v>307</v>
      </c>
      <c r="B594" t="str">
        <f t="shared" si="35"/>
        <v>Twin140+1.140</v>
      </c>
      <c r="C594">
        <v>1.1000000000000001</v>
      </c>
      <c r="D594">
        <v>40</v>
      </c>
      <c r="E594" s="5">
        <v>1.19921845320819</v>
      </c>
      <c r="F594" s="5">
        <v>46.786799999999999</v>
      </c>
      <c r="G594" s="5">
        <f t="shared" si="36"/>
        <v>11.976149252313498</v>
      </c>
      <c r="H594" s="5">
        <f t="shared" si="37"/>
        <v>13.879843208428124</v>
      </c>
      <c r="I594" s="5">
        <f t="shared" si="38"/>
        <v>10.013389345298368</v>
      </c>
    </row>
    <row r="595" spans="1:9" x14ac:dyDescent="0.25">
      <c r="A595" t="s">
        <v>307</v>
      </c>
      <c r="B595" t="str">
        <f t="shared" si="35"/>
        <v>Twin140+1.150</v>
      </c>
      <c r="C595">
        <v>1.1000000000000001</v>
      </c>
      <c r="D595">
        <v>50</v>
      </c>
      <c r="E595" s="5">
        <v>1.3409442704055214</v>
      </c>
      <c r="F595" s="5">
        <v>50.292000000000002</v>
      </c>
      <c r="G595" s="5">
        <f t="shared" si="36"/>
        <v>12.928766290418693</v>
      </c>
      <c r="H595" s="5">
        <f t="shared" si="37"/>
        <v>15.52018831487872</v>
      </c>
      <c r="I595" s="5">
        <f t="shared" si="38"/>
        <v>10.371788307437148</v>
      </c>
    </row>
    <row r="596" spans="1:9" x14ac:dyDescent="0.25">
      <c r="A596" t="s">
        <v>307</v>
      </c>
      <c r="B596" t="str">
        <f t="shared" si="35"/>
        <v>Twin140+1.160</v>
      </c>
      <c r="C596">
        <v>1.1000000000000001</v>
      </c>
      <c r="D596">
        <v>60</v>
      </c>
      <c r="E596" s="5">
        <v>1.4717681016645967</v>
      </c>
      <c r="F596" s="5">
        <v>52.882800000000003</v>
      </c>
      <c r="G596" s="5">
        <f t="shared" si="36"/>
        <v>13.637836215609994</v>
      </c>
      <c r="H596" s="5">
        <f t="shared" si="37"/>
        <v>17.034353028525423</v>
      </c>
      <c r="I596" s="5">
        <f t="shared" si="38"/>
        <v>10.791800681547981</v>
      </c>
    </row>
    <row r="597" spans="1:9" x14ac:dyDescent="0.25">
      <c r="A597" t="s">
        <v>307</v>
      </c>
      <c r="B597" t="str">
        <f t="shared" si="35"/>
        <v>Twin140+1.170</v>
      </c>
      <c r="C597">
        <v>1.1000000000000001</v>
      </c>
      <c r="D597">
        <v>70</v>
      </c>
      <c r="E597">
        <v>1.5862389540162876</v>
      </c>
      <c r="F597">
        <v>55.168800000000005</v>
      </c>
      <c r="G597" s="5">
        <f t="shared" si="36"/>
        <v>14.266988511697889</v>
      </c>
      <c r="H597" s="5">
        <f t="shared" si="37"/>
        <v>18.35924715296629</v>
      </c>
      <c r="I597" s="5">
        <f t="shared" si="38"/>
        <v>11.11824652214227</v>
      </c>
    </row>
    <row r="598" spans="1:9" x14ac:dyDescent="0.25">
      <c r="A598" t="s">
        <v>307</v>
      </c>
      <c r="B598" t="str">
        <f t="shared" si="35"/>
        <v>Twin140+1.180</v>
      </c>
      <c r="C598">
        <v>1.1000000000000001</v>
      </c>
      <c r="D598">
        <v>80</v>
      </c>
      <c r="E598">
        <v>1.6952588133988504</v>
      </c>
      <c r="F598">
        <v>57.302400000000006</v>
      </c>
      <c r="G598" s="5">
        <f t="shared" si="36"/>
        <v>14.857159735985704</v>
      </c>
      <c r="H598" s="5">
        <f t="shared" si="37"/>
        <v>19.621051081005213</v>
      </c>
      <c r="I598" s="5">
        <f t="shared" si="38"/>
        <v>11.410382896353626</v>
      </c>
    </row>
    <row r="599" spans="1:9" x14ac:dyDescent="0.25">
      <c r="A599" t="s">
        <v>307</v>
      </c>
      <c r="B599" t="str">
        <f t="shared" si="35"/>
        <v>Twin140+1.190</v>
      </c>
      <c r="C599">
        <v>1.1000000000000001</v>
      </c>
      <c r="D599">
        <v>90</v>
      </c>
      <c r="E599">
        <v>1.7988276798122851</v>
      </c>
      <c r="F599">
        <v>59.7408</v>
      </c>
      <c r="G599" s="5">
        <f t="shared" si="36"/>
        <v>15.535143497267271</v>
      </c>
      <c r="H599" s="5">
        <f t="shared" si="37"/>
        <v>20.819764812642187</v>
      </c>
      <c r="I599" s="5">
        <f t="shared" si="38"/>
        <v>11.579086347858389</v>
      </c>
    </row>
    <row r="600" spans="1:9" x14ac:dyDescent="0.25">
      <c r="A600" t="s">
        <v>307</v>
      </c>
      <c r="B600" t="str">
        <f t="shared" si="35"/>
        <v>Twin140+1.1100</v>
      </c>
      <c r="C600">
        <v>1.1000000000000001</v>
      </c>
      <c r="D600">
        <v>100</v>
      </c>
      <c r="E600">
        <v>1.8969455532565913</v>
      </c>
      <c r="F600">
        <v>62.026800000000001</v>
      </c>
      <c r="G600" s="5">
        <f t="shared" si="36"/>
        <v>16.174146186748786</v>
      </c>
      <c r="H600" s="5">
        <f t="shared" si="37"/>
        <v>21.955388347877214</v>
      </c>
      <c r="I600" s="5">
        <f t="shared" si="38"/>
        <v>11.728257747606657</v>
      </c>
    </row>
    <row r="601" spans="1:9" x14ac:dyDescent="0.25">
      <c r="A601" t="s">
        <v>307</v>
      </c>
      <c r="B601" t="str">
        <f t="shared" si="35"/>
        <v>Twin140+1.1110</v>
      </c>
      <c r="C601">
        <v>1.1000000000000001</v>
      </c>
      <c r="D601">
        <v>110</v>
      </c>
      <c r="E601">
        <v>1.9896124337317698</v>
      </c>
      <c r="F601">
        <v>64.16040000000001</v>
      </c>
      <c r="G601" s="5">
        <f t="shared" si="36"/>
        <v>16.773511111537339</v>
      </c>
      <c r="H601" s="5">
        <f t="shared" si="37"/>
        <v>23.027921686710297</v>
      </c>
      <c r="I601" s="5">
        <f t="shared" si="38"/>
        <v>11.861633622809316</v>
      </c>
    </row>
    <row r="602" spans="1:9" x14ac:dyDescent="0.25">
      <c r="A602" t="s">
        <v>307</v>
      </c>
      <c r="B602" t="str">
        <f t="shared" si="35"/>
        <v>Twin140+1.1830</v>
      </c>
      <c r="C602">
        <v>1.18</v>
      </c>
      <c r="D602">
        <v>30</v>
      </c>
      <c r="E602">
        <v>1.193767460239062</v>
      </c>
      <c r="F602">
        <v>45.72</v>
      </c>
      <c r="G602" s="5">
        <f t="shared" si="36"/>
        <v>11.687754611089588</v>
      </c>
      <c r="H602" s="5">
        <f t="shared" si="37"/>
        <v>13.816753012026179</v>
      </c>
      <c r="I602" s="5">
        <f t="shared" si="38"/>
        <v>10.213830628394527</v>
      </c>
    </row>
    <row r="603" spans="1:9" x14ac:dyDescent="0.25">
      <c r="A603" t="s">
        <v>307</v>
      </c>
      <c r="B603" t="str">
        <f t="shared" si="35"/>
        <v>Twin140+1.1840</v>
      </c>
      <c r="C603">
        <v>1.18</v>
      </c>
      <c r="D603">
        <v>40</v>
      </c>
      <c r="E603">
        <v>1.3791012211894185</v>
      </c>
      <c r="F603">
        <v>48.463200000000001</v>
      </c>
      <c r="G603" s="5">
        <f t="shared" si="36"/>
        <v>12.430785555744073</v>
      </c>
      <c r="H603" s="5">
        <f t="shared" si="37"/>
        <v>15.961819689692343</v>
      </c>
      <c r="I603" s="5">
        <f t="shared" si="38"/>
        <v>11.094240303680222</v>
      </c>
    </row>
    <row r="604" spans="1:9" x14ac:dyDescent="0.25">
      <c r="A604" t="s">
        <v>307</v>
      </c>
      <c r="B604" t="str">
        <f t="shared" si="35"/>
        <v>Twin140+1.1850</v>
      </c>
      <c r="C604">
        <v>1.18</v>
      </c>
      <c r="D604">
        <v>50</v>
      </c>
      <c r="E604">
        <v>1.5426310102632625</v>
      </c>
      <c r="F604">
        <v>52.273200000000003</v>
      </c>
      <c r="G604" s="5">
        <f t="shared" si="36"/>
        <v>13.470616810651691</v>
      </c>
      <c r="H604" s="5">
        <f t="shared" si="37"/>
        <v>17.854525581750725</v>
      </c>
      <c r="I604" s="5">
        <f t="shared" si="38"/>
        <v>11.451821634800345</v>
      </c>
    </row>
    <row r="605" spans="1:9" x14ac:dyDescent="0.25">
      <c r="A605" t="s">
        <v>307</v>
      </c>
      <c r="B605" t="str">
        <f t="shared" si="35"/>
        <v>Twin140+1.1860</v>
      </c>
      <c r="C605">
        <v>1.18</v>
      </c>
      <c r="D605">
        <v>60</v>
      </c>
      <c r="E605">
        <v>1.6898078204297222</v>
      </c>
      <c r="F605">
        <v>54.864000000000004</v>
      </c>
      <c r="G605" s="5">
        <f t="shared" si="36"/>
        <v>14.182911827605992</v>
      </c>
      <c r="H605" s="5">
        <f t="shared" si="37"/>
        <v>19.557960884603265</v>
      </c>
      <c r="I605" s="5">
        <f t="shared" si="38"/>
        <v>11.914392763414321</v>
      </c>
    </row>
    <row r="606" spans="1:9" x14ac:dyDescent="0.25">
      <c r="A606" t="s">
        <v>307</v>
      </c>
      <c r="B606" t="str">
        <f t="shared" si="35"/>
        <v>Twin140+1.1870</v>
      </c>
      <c r="C606">
        <v>1.18</v>
      </c>
      <c r="D606">
        <v>70</v>
      </c>
      <c r="E606">
        <v>1.8206316516887977</v>
      </c>
      <c r="F606">
        <v>57.302400000000006</v>
      </c>
      <c r="G606" s="5">
        <f t="shared" si="36"/>
        <v>14.857159735985704</v>
      </c>
      <c r="H606" s="5">
        <f t="shared" si="37"/>
        <v>21.072125598249972</v>
      </c>
      <c r="I606" s="5">
        <f t="shared" si="38"/>
        <v>12.254237580006789</v>
      </c>
    </row>
    <row r="607" spans="1:9" x14ac:dyDescent="0.25">
      <c r="A607" t="s">
        <v>307</v>
      </c>
      <c r="B607" t="str">
        <f t="shared" si="35"/>
        <v>Twin140+1.1880</v>
      </c>
      <c r="C607">
        <v>1.18</v>
      </c>
      <c r="D607">
        <v>80</v>
      </c>
      <c r="E607">
        <v>1.9514554829478727</v>
      </c>
      <c r="F607">
        <v>59.5884</v>
      </c>
      <c r="G607" s="5">
        <f t="shared" si="36"/>
        <v>15.492660063371673</v>
      </c>
      <c r="H607" s="5">
        <f t="shared" si="37"/>
        <v>22.586290311896676</v>
      </c>
      <c r="I607" s="5">
        <f t="shared" si="38"/>
        <v>12.596000137907737</v>
      </c>
    </row>
    <row r="608" spans="1:9" x14ac:dyDescent="0.25">
      <c r="A608" t="s">
        <v>307</v>
      </c>
      <c r="B608" t="str">
        <f t="shared" si="35"/>
        <v>Twin140+1.1890</v>
      </c>
      <c r="C608">
        <v>1.18</v>
      </c>
      <c r="D608">
        <v>90</v>
      </c>
      <c r="E608">
        <v>2.0659263352995638</v>
      </c>
      <c r="F608">
        <v>62.026800000000001</v>
      </c>
      <c r="G608" s="5">
        <f t="shared" si="36"/>
        <v>16.174146186748786</v>
      </c>
      <c r="H608" s="5">
        <f t="shared" si="37"/>
        <v>23.911184436337543</v>
      </c>
      <c r="I608" s="5">
        <f t="shared" si="38"/>
        <v>12.773016340065874</v>
      </c>
    </row>
    <row r="609" spans="1:9" x14ac:dyDescent="0.25">
      <c r="A609" t="s">
        <v>307</v>
      </c>
      <c r="B609" t="str">
        <f t="shared" si="35"/>
        <v>Twin140+1.18100</v>
      </c>
      <c r="C609">
        <v>1.18</v>
      </c>
      <c r="D609">
        <v>100</v>
      </c>
      <c r="E609">
        <v>2.1803971876512547</v>
      </c>
      <c r="F609">
        <v>64.31280000000001</v>
      </c>
      <c r="G609" s="5">
        <f t="shared" si="36"/>
        <v>16.816432340694881</v>
      </c>
      <c r="H609" s="5">
        <f t="shared" si="37"/>
        <v>25.236078560778409</v>
      </c>
      <c r="I609" s="5">
        <f t="shared" si="38"/>
        <v>12.965872567243697</v>
      </c>
    </row>
    <row r="610" spans="1:9" x14ac:dyDescent="0.25">
      <c r="A610" t="s">
        <v>307</v>
      </c>
      <c r="B610" t="str">
        <f t="shared" si="35"/>
        <v>Twin140+1.18110</v>
      </c>
      <c r="C610">
        <v>1.18</v>
      </c>
      <c r="D610">
        <v>110</v>
      </c>
      <c r="E610">
        <v>2.2839660540646891</v>
      </c>
      <c r="F610">
        <v>66.598799999999997</v>
      </c>
      <c r="G610" s="5">
        <f t="shared" si="36"/>
        <v>17.462001959105486</v>
      </c>
      <c r="H610" s="5">
        <f t="shared" si="37"/>
        <v>26.434792292415381</v>
      </c>
      <c r="I610" s="5">
        <f t="shared" si="38"/>
        <v>13.079634622728495</v>
      </c>
    </row>
    <row r="611" spans="1:9" x14ac:dyDescent="0.25">
      <c r="A611" t="s">
        <v>308</v>
      </c>
      <c r="B611" t="str">
        <f t="shared" si="35"/>
        <v>Twin140Ultra0.6330</v>
      </c>
      <c r="C611">
        <v>0.63</v>
      </c>
      <c r="D611">
        <v>30</v>
      </c>
      <c r="E611">
        <v>0.33796156408594441</v>
      </c>
      <c r="F611">
        <v>30.1752</v>
      </c>
      <c r="G611" s="5">
        <f t="shared" si="36"/>
        <v>7.5665561581500427</v>
      </c>
      <c r="H611" s="5">
        <f t="shared" si="37"/>
        <v>3.9115921769206525</v>
      </c>
      <c r="I611" s="5">
        <f t="shared" si="38"/>
        <v>4.466517620726588</v>
      </c>
    </row>
    <row r="612" spans="1:9" x14ac:dyDescent="0.25">
      <c r="A612" t="s">
        <v>308</v>
      </c>
      <c r="B612" t="str">
        <f t="shared" si="35"/>
        <v>Twin140Ultra0.6340</v>
      </c>
      <c r="C612">
        <v>0.63</v>
      </c>
      <c r="D612">
        <v>40</v>
      </c>
      <c r="E612">
        <v>0.38702050080809769</v>
      </c>
      <c r="F612">
        <v>33.680399999999999</v>
      </c>
      <c r="G612" s="5">
        <f t="shared" si="36"/>
        <v>8.4825881055324288</v>
      </c>
      <c r="H612" s="5">
        <f t="shared" si="37"/>
        <v>4.4794039445381673</v>
      </c>
      <c r="I612" s="5">
        <f t="shared" si="38"/>
        <v>4.5625285112650831</v>
      </c>
    </row>
    <row r="613" spans="1:9" x14ac:dyDescent="0.25">
      <c r="A613" t="s">
        <v>308</v>
      </c>
      <c r="B613" t="str">
        <f t="shared" si="35"/>
        <v>Twin140Ultra0.6350</v>
      </c>
      <c r="C613">
        <v>0.63</v>
      </c>
      <c r="D613">
        <v>50</v>
      </c>
      <c r="E613">
        <v>0.43607943753025091</v>
      </c>
      <c r="F613">
        <v>35.9664</v>
      </c>
      <c r="G613">
        <f t="shared" si="36"/>
        <v>9.0841593001180527</v>
      </c>
      <c r="H613">
        <f t="shared" si="37"/>
        <v>5.0472157121556815</v>
      </c>
      <c r="I613">
        <f t="shared" si="38"/>
        <v>4.8004380275958383</v>
      </c>
    </row>
    <row r="614" spans="1:9" x14ac:dyDescent="0.25">
      <c r="A614" t="s">
        <v>308</v>
      </c>
      <c r="B614" t="str">
        <f t="shared" ref="B614:B677" si="39">A614&amp;C614&amp;D614</f>
        <v>Twin140Ultra0.6360</v>
      </c>
      <c r="C614">
        <v>0.63</v>
      </c>
      <c r="D614">
        <v>60</v>
      </c>
      <c r="E614">
        <v>0.47423638831414783</v>
      </c>
      <c r="F614">
        <v>37.795200000000001</v>
      </c>
      <c r="G614">
        <f t="shared" si="36"/>
        <v>9.5677803502010477</v>
      </c>
      <c r="H614">
        <f t="shared" si="37"/>
        <v>5.4888470869693036</v>
      </c>
      <c r="I614">
        <f t="shared" si="38"/>
        <v>4.9565977787542197</v>
      </c>
    </row>
    <row r="615" spans="1:9" x14ac:dyDescent="0.25">
      <c r="A615" t="s">
        <v>308</v>
      </c>
      <c r="B615" t="str">
        <f t="shared" si="39"/>
        <v>Twin140Ultra0.6370</v>
      </c>
      <c r="C615">
        <v>0.63</v>
      </c>
      <c r="D615">
        <v>70</v>
      </c>
      <c r="E615">
        <v>0.51239333909804485</v>
      </c>
      <c r="F615">
        <v>39.471600000000002</v>
      </c>
      <c r="G615">
        <f t="shared" si="36"/>
        <v>10.012945682798296</v>
      </c>
      <c r="H615">
        <f t="shared" si="37"/>
        <v>5.9304784617829265</v>
      </c>
      <c r="I615">
        <f t="shared" si="38"/>
        <v>5.1173086854781324</v>
      </c>
    </row>
    <row r="616" spans="1:9" x14ac:dyDescent="0.25">
      <c r="A616" t="s">
        <v>308</v>
      </c>
      <c r="B616" t="str">
        <f t="shared" si="39"/>
        <v>Twin140Ultra0.6380</v>
      </c>
      <c r="C616">
        <v>0.63</v>
      </c>
      <c r="D616">
        <v>80</v>
      </c>
      <c r="E616">
        <v>0.55055028988194177</v>
      </c>
      <c r="F616">
        <v>41.300400000000003</v>
      </c>
      <c r="G616">
        <f t="shared" si="36"/>
        <v>10.500594449291128</v>
      </c>
      <c r="H616">
        <f t="shared" si="37"/>
        <v>6.3721098365965476</v>
      </c>
      <c r="I616">
        <f t="shared" si="38"/>
        <v>5.2430392635448193</v>
      </c>
    </row>
    <row r="617" spans="1:9" x14ac:dyDescent="0.25">
      <c r="A617" t="s">
        <v>308</v>
      </c>
      <c r="B617" t="str">
        <f t="shared" si="39"/>
        <v>Twin140Ultra0.6390</v>
      </c>
      <c r="C617">
        <v>0.63</v>
      </c>
      <c r="D617">
        <v>90</v>
      </c>
      <c r="E617">
        <v>0.58325624769671058</v>
      </c>
      <c r="F617">
        <v>42.976800000000004</v>
      </c>
      <c r="G617">
        <f t="shared" si="36"/>
        <v>10.94945185526408</v>
      </c>
      <c r="H617">
        <f t="shared" si="37"/>
        <v>6.7506510150082244</v>
      </c>
      <c r="I617">
        <f t="shared" si="38"/>
        <v>5.3268077288846492</v>
      </c>
    </row>
    <row r="618" spans="1:9" x14ac:dyDescent="0.25">
      <c r="A618" t="s">
        <v>308</v>
      </c>
      <c r="B618" t="str">
        <f t="shared" si="39"/>
        <v>Twin140Ultra0.63100</v>
      </c>
      <c r="C618">
        <v>0.63</v>
      </c>
      <c r="D618">
        <v>100</v>
      </c>
      <c r="E618">
        <v>0.6159622055114794</v>
      </c>
      <c r="F618">
        <v>44.196000000000005</v>
      </c>
      <c r="G618">
        <f t="shared" si="36"/>
        <v>11.277002686392827</v>
      </c>
      <c r="H618">
        <f t="shared" si="37"/>
        <v>7.1291921934199003</v>
      </c>
      <c r="I618">
        <f t="shared" si="38"/>
        <v>5.4621092380754517</v>
      </c>
    </row>
    <row r="619" spans="1:9" x14ac:dyDescent="0.25">
      <c r="A619" t="s">
        <v>308</v>
      </c>
      <c r="B619" t="str">
        <f t="shared" si="39"/>
        <v>Twin140Ultra0.63110</v>
      </c>
      <c r="C619">
        <v>0.63</v>
      </c>
      <c r="D619">
        <v>110</v>
      </c>
      <c r="E619">
        <v>0.64321717035712012</v>
      </c>
      <c r="F619">
        <v>45.110400000000006</v>
      </c>
      <c r="G619">
        <f t="shared" si="36"/>
        <v>11.52327872310611</v>
      </c>
      <c r="H619">
        <f t="shared" si="37"/>
        <v>7.4446431754296309</v>
      </c>
      <c r="I619">
        <f t="shared" si="38"/>
        <v>5.5818937110959723</v>
      </c>
    </row>
    <row r="620" spans="1:9" x14ac:dyDescent="0.25">
      <c r="A620" t="s">
        <v>308</v>
      </c>
      <c r="B620" t="str">
        <f t="shared" si="39"/>
        <v>Twin140Ultra0.7130</v>
      </c>
      <c r="C620">
        <v>0.71</v>
      </c>
      <c r="D620">
        <v>30</v>
      </c>
      <c r="E620">
        <v>0.42517745159199466</v>
      </c>
      <c r="F620">
        <v>30.48</v>
      </c>
      <c r="G620">
        <f t="shared" si="36"/>
        <v>7.645904653412984</v>
      </c>
      <c r="H620">
        <f t="shared" si="37"/>
        <v>4.9210353193517902</v>
      </c>
      <c r="I620">
        <f t="shared" si="38"/>
        <v>5.5608521275792224</v>
      </c>
    </row>
    <row r="621" spans="1:9" x14ac:dyDescent="0.25">
      <c r="A621" t="s">
        <v>308</v>
      </c>
      <c r="B621" t="str">
        <f t="shared" si="39"/>
        <v>Twin140Ultra0.7140</v>
      </c>
      <c r="C621">
        <v>0.71</v>
      </c>
      <c r="D621">
        <v>40</v>
      </c>
      <c r="E621">
        <v>0.49058936722153224</v>
      </c>
      <c r="F621">
        <v>34.8996</v>
      </c>
      <c r="G621">
        <f t="shared" si="36"/>
        <v>8.8030174670669581</v>
      </c>
      <c r="H621">
        <f t="shared" si="37"/>
        <v>5.6781176761751411</v>
      </c>
      <c r="I621">
        <f t="shared" si="38"/>
        <v>5.5729682356860044</v>
      </c>
    </row>
    <row r="622" spans="1:9" x14ac:dyDescent="0.25">
      <c r="A622" t="s">
        <v>308</v>
      </c>
      <c r="B622" t="str">
        <f t="shared" si="39"/>
        <v>Twin140Ultra0.7150</v>
      </c>
      <c r="C622">
        <v>0.71</v>
      </c>
      <c r="D622">
        <v>50</v>
      </c>
      <c r="E622">
        <v>0.55055028988194177</v>
      </c>
      <c r="F622">
        <v>37.795200000000001</v>
      </c>
      <c r="G622">
        <f t="shared" si="36"/>
        <v>9.5677803502010477</v>
      </c>
      <c r="H622">
        <f t="shared" si="37"/>
        <v>6.3721098365965476</v>
      </c>
      <c r="I622">
        <f t="shared" si="38"/>
        <v>5.7542112144158182</v>
      </c>
    </row>
    <row r="623" spans="1:9" x14ac:dyDescent="0.25">
      <c r="A623" t="s">
        <v>308</v>
      </c>
      <c r="B623" t="str">
        <f t="shared" si="39"/>
        <v>Twin140Ultra0.7160</v>
      </c>
      <c r="C623">
        <v>0.71</v>
      </c>
      <c r="D623">
        <v>60</v>
      </c>
      <c r="E623">
        <v>0.6050602195732232</v>
      </c>
      <c r="F623">
        <v>40.081200000000003</v>
      </c>
      <c r="G623">
        <f t="shared" si="36"/>
        <v>10.175261780822865</v>
      </c>
      <c r="H623">
        <f t="shared" si="37"/>
        <v>7.0030118006160089</v>
      </c>
      <c r="I623">
        <f t="shared" si="38"/>
        <v>5.9463847968370649</v>
      </c>
    </row>
    <row r="624" spans="1:9" x14ac:dyDescent="0.25">
      <c r="A624" t="s">
        <v>308</v>
      </c>
      <c r="B624" t="str">
        <f t="shared" si="39"/>
        <v>Twin140Ultra0.7170</v>
      </c>
      <c r="C624">
        <v>0.71</v>
      </c>
      <c r="D624">
        <v>70</v>
      </c>
      <c r="E624">
        <v>0.64866816332624821</v>
      </c>
      <c r="F624">
        <v>42.062400000000004</v>
      </c>
      <c r="G624">
        <f t="shared" si="36"/>
        <v>10.704401645284221</v>
      </c>
      <c r="H624">
        <f t="shared" si="37"/>
        <v>7.5077333718315762</v>
      </c>
      <c r="I624">
        <f t="shared" si="38"/>
        <v>6.0598264603796537</v>
      </c>
    </row>
    <row r="625" spans="1:9" x14ac:dyDescent="0.25">
      <c r="A625" t="s">
        <v>308</v>
      </c>
      <c r="B625" t="str">
        <f t="shared" si="39"/>
        <v>Twin140Ultra0.7180</v>
      </c>
      <c r="C625">
        <v>0.71</v>
      </c>
      <c r="D625">
        <v>80</v>
      </c>
      <c r="E625">
        <v>0.69772710004840144</v>
      </c>
      <c r="F625">
        <v>44.043600000000005</v>
      </c>
      <c r="G625">
        <f t="shared" si="36"/>
        <v>11.236007756387835</v>
      </c>
      <c r="H625">
        <f t="shared" si="37"/>
        <v>8.0755451394490905</v>
      </c>
      <c r="I625">
        <f t="shared" si="38"/>
        <v>6.2097420647625787</v>
      </c>
    </row>
    <row r="626" spans="1:9" x14ac:dyDescent="0.25">
      <c r="A626" t="s">
        <v>308</v>
      </c>
      <c r="B626" t="str">
        <f t="shared" si="39"/>
        <v>Twin140Ultra0.7190</v>
      </c>
      <c r="C626">
        <v>0.71</v>
      </c>
      <c r="D626">
        <v>90</v>
      </c>
      <c r="E626">
        <v>0.73588405083229835</v>
      </c>
      <c r="F626">
        <v>45.72</v>
      </c>
      <c r="G626">
        <f t="shared" si="36"/>
        <v>11.687754611089588</v>
      </c>
      <c r="H626">
        <f t="shared" si="37"/>
        <v>8.5171765142627116</v>
      </c>
      <c r="I626">
        <f t="shared" si="38"/>
        <v>6.2961969627089536</v>
      </c>
    </row>
    <row r="627" spans="1:9" x14ac:dyDescent="0.25">
      <c r="A627" t="s">
        <v>308</v>
      </c>
      <c r="B627" t="str">
        <f t="shared" si="39"/>
        <v>Twin140Ultra0.71100</v>
      </c>
      <c r="C627">
        <v>0.71</v>
      </c>
      <c r="D627">
        <v>100</v>
      </c>
      <c r="E627">
        <v>0.77949199458532348</v>
      </c>
      <c r="F627">
        <v>46.9392</v>
      </c>
      <c r="G627">
        <f t="shared" si="36"/>
        <v>12.017406859475663</v>
      </c>
      <c r="H627">
        <f t="shared" si="37"/>
        <v>9.0218980854782806</v>
      </c>
      <c r="I627">
        <f t="shared" si="38"/>
        <v>6.4863576951353528</v>
      </c>
    </row>
    <row r="628" spans="1:9" x14ac:dyDescent="0.25">
      <c r="A628" t="s">
        <v>308</v>
      </c>
      <c r="B628" t="str">
        <f t="shared" si="39"/>
        <v>Twin140Ultra0.71110</v>
      </c>
      <c r="C628">
        <v>0.71</v>
      </c>
      <c r="D628">
        <v>110</v>
      </c>
      <c r="E628">
        <v>0.8176489453692205</v>
      </c>
      <c r="F628">
        <v>48.006</v>
      </c>
      <c r="G628">
        <f t="shared" si="36"/>
        <v>12.306618718521854</v>
      </c>
      <c r="H628">
        <f t="shared" si="37"/>
        <v>9.4635294602919036</v>
      </c>
      <c r="I628">
        <f t="shared" si="38"/>
        <v>6.6439772294125978</v>
      </c>
    </row>
    <row r="629" spans="1:9" x14ac:dyDescent="0.25">
      <c r="A629" t="s">
        <v>308</v>
      </c>
      <c r="B629" t="str">
        <f t="shared" si="39"/>
        <v>Twin140Ultra0.7930</v>
      </c>
      <c r="C629">
        <v>0.79</v>
      </c>
      <c r="D629">
        <v>30</v>
      </c>
      <c r="E629">
        <v>0.52874631800542926</v>
      </c>
      <c r="F629">
        <v>30.784800000000001</v>
      </c>
      <c r="G629">
        <f t="shared" si="36"/>
        <v>7.7253115213775132</v>
      </c>
      <c r="H629">
        <f t="shared" si="37"/>
        <v>6.119749050988764</v>
      </c>
      <c r="I629">
        <f t="shared" si="38"/>
        <v>6.8443365234176028</v>
      </c>
    </row>
    <row r="630" spans="1:9" x14ac:dyDescent="0.25">
      <c r="A630" t="s">
        <v>308</v>
      </c>
      <c r="B630" t="str">
        <f t="shared" si="39"/>
        <v>Twin140Ultra0.7940</v>
      </c>
      <c r="C630">
        <v>0.79</v>
      </c>
      <c r="D630">
        <v>40</v>
      </c>
      <c r="E630">
        <v>0.6105112125423513</v>
      </c>
      <c r="F630">
        <v>36.1188</v>
      </c>
      <c r="G630">
        <f t="shared" si="36"/>
        <v>9.1243807918269511</v>
      </c>
      <c r="H630">
        <f t="shared" si="37"/>
        <v>7.0661019970179542</v>
      </c>
      <c r="I630">
        <f t="shared" si="38"/>
        <v>6.6909878760124633</v>
      </c>
    </row>
    <row r="631" spans="1:9" x14ac:dyDescent="0.25">
      <c r="A631" t="s">
        <v>308</v>
      </c>
      <c r="B631" t="str">
        <f t="shared" si="39"/>
        <v>Twin140Ultra0.7950</v>
      </c>
      <c r="C631">
        <v>0.79</v>
      </c>
      <c r="D631">
        <v>50</v>
      </c>
      <c r="E631">
        <v>0.68137412114101703</v>
      </c>
      <c r="F631">
        <v>39.624000000000002</v>
      </c>
      <c r="G631">
        <f t="shared" si="36"/>
        <v>10.053502817541336</v>
      </c>
      <c r="H631">
        <f t="shared" si="37"/>
        <v>7.8862745502432521</v>
      </c>
      <c r="I631">
        <f t="shared" si="38"/>
        <v>6.7774797849775954</v>
      </c>
    </row>
    <row r="632" spans="1:9" x14ac:dyDescent="0.25">
      <c r="A632" t="s">
        <v>308</v>
      </c>
      <c r="B632" t="str">
        <f t="shared" si="39"/>
        <v>Twin140Ultra0.7960</v>
      </c>
      <c r="C632">
        <v>0.79</v>
      </c>
      <c r="D632">
        <v>60</v>
      </c>
      <c r="E632">
        <v>0.74678603677055466</v>
      </c>
      <c r="F632">
        <v>42.367200000000004</v>
      </c>
      <c r="G632">
        <f t="shared" si="36"/>
        <v>10.786026675909241</v>
      </c>
      <c r="H632">
        <f t="shared" si="37"/>
        <v>8.6433569070666039</v>
      </c>
      <c r="I632">
        <f t="shared" si="38"/>
        <v>6.9236435177609277</v>
      </c>
    </row>
    <row r="633" spans="1:9" x14ac:dyDescent="0.25">
      <c r="A633" t="s">
        <v>308</v>
      </c>
      <c r="B633" t="str">
        <f t="shared" si="39"/>
        <v>Twin140Ultra0.7970</v>
      </c>
      <c r="C633">
        <v>0.79</v>
      </c>
      <c r="D633">
        <v>70</v>
      </c>
      <c r="E633">
        <v>0.80674695943096419</v>
      </c>
      <c r="F633">
        <v>44.653200000000005</v>
      </c>
      <c r="G633">
        <f t="shared" si="36"/>
        <v>11.400075035460176</v>
      </c>
      <c r="H633">
        <f t="shared" si="37"/>
        <v>9.3373490674880113</v>
      </c>
      <c r="I633">
        <f t="shared" si="38"/>
        <v>7.0766811351816603</v>
      </c>
    </row>
    <row r="634" spans="1:9" x14ac:dyDescent="0.25">
      <c r="A634" t="s">
        <v>308</v>
      </c>
      <c r="B634" t="str">
        <f t="shared" si="39"/>
        <v>Twin140Ultra0.7980</v>
      </c>
      <c r="C634">
        <v>0.79</v>
      </c>
      <c r="D634">
        <v>80</v>
      </c>
      <c r="E634">
        <v>0.86125688912224552</v>
      </c>
      <c r="F634">
        <v>46.634399999999999</v>
      </c>
      <c r="G634">
        <f t="shared" si="36"/>
        <v>11.934906238326754</v>
      </c>
      <c r="H634">
        <f t="shared" si="37"/>
        <v>9.9682510315074708</v>
      </c>
      <c r="I634">
        <f t="shared" si="38"/>
        <v>7.2162853391883175</v>
      </c>
    </row>
    <row r="635" spans="1:9" x14ac:dyDescent="0.25">
      <c r="A635" t="s">
        <v>308</v>
      </c>
      <c r="B635" t="str">
        <f t="shared" si="39"/>
        <v>Twin140Ultra0.7990</v>
      </c>
      <c r="C635">
        <v>0.79</v>
      </c>
      <c r="D635">
        <v>90</v>
      </c>
      <c r="E635">
        <v>0.91576681881352695</v>
      </c>
      <c r="F635">
        <v>48.463200000000001</v>
      </c>
      <c r="G635">
        <f t="shared" si="36"/>
        <v>12.430785555744073</v>
      </c>
      <c r="H635">
        <f t="shared" si="37"/>
        <v>10.599152995526932</v>
      </c>
      <c r="I635">
        <f t="shared" si="38"/>
        <v>7.3669263676611756</v>
      </c>
    </row>
    <row r="636" spans="1:9" x14ac:dyDescent="0.25">
      <c r="A636" t="s">
        <v>308</v>
      </c>
      <c r="B636" t="str">
        <f t="shared" si="39"/>
        <v>Twin140Ultra0.79100</v>
      </c>
      <c r="C636">
        <v>0.79</v>
      </c>
      <c r="D636">
        <v>100</v>
      </c>
      <c r="E636">
        <v>0.96482575553568006</v>
      </c>
      <c r="F636">
        <v>49.834800000000001</v>
      </c>
      <c r="G636">
        <f t="shared" si="36"/>
        <v>12.804074098882147</v>
      </c>
      <c r="H636">
        <f t="shared" si="37"/>
        <v>11.166964763144444</v>
      </c>
      <c r="I636">
        <f t="shared" si="38"/>
        <v>7.5353028113131089</v>
      </c>
    </row>
    <row r="637" spans="1:9" x14ac:dyDescent="0.25">
      <c r="A637" t="s">
        <v>308</v>
      </c>
      <c r="B637" t="str">
        <f t="shared" si="39"/>
        <v>Twin140Ultra0.79110</v>
      </c>
      <c r="C637">
        <v>0.79</v>
      </c>
      <c r="D637">
        <v>110</v>
      </c>
      <c r="E637">
        <v>1.0138846922578333</v>
      </c>
      <c r="F637">
        <v>50.901600000000002</v>
      </c>
      <c r="G637">
        <f t="shared" si="36"/>
        <v>13.095226850256296</v>
      </c>
      <c r="H637">
        <f t="shared" si="37"/>
        <v>11.734776530761959</v>
      </c>
      <c r="I637">
        <f t="shared" si="38"/>
        <v>7.7423988438809657</v>
      </c>
    </row>
    <row r="638" spans="1:9" x14ac:dyDescent="0.25">
      <c r="A638" t="s">
        <v>308</v>
      </c>
      <c r="B638" t="str">
        <f t="shared" si="39"/>
        <v>Twin140Ultra0.8730</v>
      </c>
      <c r="C638">
        <v>0.87</v>
      </c>
      <c r="D638">
        <v>30</v>
      </c>
      <c r="E638">
        <v>0.63776617738799202</v>
      </c>
      <c r="F638">
        <v>31.089600000000001</v>
      </c>
      <c r="G638">
        <f t="shared" si="36"/>
        <v>7.8047767620436375</v>
      </c>
      <c r="H638">
        <f t="shared" si="37"/>
        <v>7.3815529790276848</v>
      </c>
      <c r="I638">
        <f t="shared" si="38"/>
        <v>8.1714851921145328</v>
      </c>
    </row>
    <row r="639" spans="1:9" x14ac:dyDescent="0.25">
      <c r="A639" t="s">
        <v>308</v>
      </c>
      <c r="B639" t="str">
        <f t="shared" si="39"/>
        <v>Twin140Ultra0.8740</v>
      </c>
      <c r="C639">
        <v>0.87</v>
      </c>
      <c r="D639">
        <v>40</v>
      </c>
      <c r="E639">
        <v>0.73588405083229835</v>
      </c>
      <c r="F639">
        <v>37.338000000000001</v>
      </c>
      <c r="G639">
        <f t="shared" si="36"/>
        <v>9.4466780798124219</v>
      </c>
      <c r="H639">
        <f t="shared" si="37"/>
        <v>8.5171765142627116</v>
      </c>
      <c r="I639">
        <f t="shared" si="38"/>
        <v>7.7898711548653772</v>
      </c>
    </row>
    <row r="640" spans="1:9" x14ac:dyDescent="0.25">
      <c r="A640" t="s">
        <v>308</v>
      </c>
      <c r="B640" t="str">
        <f t="shared" si="39"/>
        <v>Twin140Ultra0.8750</v>
      </c>
      <c r="C640">
        <v>0.87</v>
      </c>
      <c r="D640">
        <v>50</v>
      </c>
      <c r="E640">
        <v>0.8230999383383486</v>
      </c>
      <c r="F640">
        <v>41.300400000000003</v>
      </c>
      <c r="G640">
        <f t="shared" si="36"/>
        <v>10.500594449291128</v>
      </c>
      <c r="H640">
        <f t="shared" si="37"/>
        <v>9.5266196566938497</v>
      </c>
      <c r="I640">
        <f t="shared" si="38"/>
        <v>7.8386032553986906</v>
      </c>
    </row>
    <row r="641" spans="1:9" x14ac:dyDescent="0.25">
      <c r="A641" t="s">
        <v>308</v>
      </c>
      <c r="B641" t="str">
        <f t="shared" si="39"/>
        <v>Twin140Ultra0.8760</v>
      </c>
      <c r="C641">
        <v>0.87</v>
      </c>
      <c r="D641">
        <v>60</v>
      </c>
      <c r="E641">
        <v>0.89941383990614254</v>
      </c>
      <c r="F641">
        <v>44.348400000000005</v>
      </c>
      <c r="G641">
        <f t="shared" si="36"/>
        <v>11.318012209573212</v>
      </c>
      <c r="H641">
        <f t="shared" si="37"/>
        <v>10.409882406321094</v>
      </c>
      <c r="I641">
        <f t="shared" si="38"/>
        <v>7.9467473903711072</v>
      </c>
    </row>
    <row r="642" spans="1:9" x14ac:dyDescent="0.25">
      <c r="A642" t="s">
        <v>308</v>
      </c>
      <c r="B642" t="str">
        <f t="shared" si="39"/>
        <v>Twin140Ultra0.8770</v>
      </c>
      <c r="C642">
        <v>0.87</v>
      </c>
      <c r="D642">
        <v>70</v>
      </c>
      <c r="E642">
        <v>0.97027674850480827</v>
      </c>
      <c r="F642">
        <v>46.786799999999999</v>
      </c>
      <c r="G642">
        <f t="shared" si="36"/>
        <v>11.976149252313498</v>
      </c>
      <c r="H642">
        <f t="shared" si="37"/>
        <v>11.230054959546392</v>
      </c>
      <c r="I642">
        <f t="shared" si="38"/>
        <v>8.1017422884686798</v>
      </c>
    </row>
    <row r="643" spans="1:9" x14ac:dyDescent="0.25">
      <c r="A643" t="s">
        <v>308</v>
      </c>
      <c r="B643" t="str">
        <f t="shared" si="39"/>
        <v>Twin140Ultra0.8780</v>
      </c>
      <c r="C643">
        <v>0.87</v>
      </c>
      <c r="D643">
        <v>80</v>
      </c>
      <c r="E643">
        <v>1.0411396571034741</v>
      </c>
      <c r="F643">
        <v>48.920400000000001</v>
      </c>
      <c r="G643">
        <f t="shared" ref="G643:G706" si="40">(PI()*(G$1+F643)^2)/10000-((PI()*(G$1)^2)/10000)</f>
        <v>12.55508373154484</v>
      </c>
      <c r="H643">
        <f t="shared" ref="H643:H706" si="41">E643/0.0864</f>
        <v>12.050227512771691</v>
      </c>
      <c r="I643">
        <f t="shared" ref="I643:I706" si="42">E643/G643*100</f>
        <v>8.2925743815439059</v>
      </c>
    </row>
    <row r="644" spans="1:9" x14ac:dyDescent="0.25">
      <c r="A644" t="s">
        <v>308</v>
      </c>
      <c r="B644" t="str">
        <f t="shared" si="39"/>
        <v>Twin140Ultra0.8790</v>
      </c>
      <c r="C644">
        <v>0.87</v>
      </c>
      <c r="D644">
        <v>90</v>
      </c>
      <c r="E644">
        <v>1.1011005797638835</v>
      </c>
      <c r="F644">
        <v>50.901600000000002</v>
      </c>
      <c r="G644">
        <f t="shared" si="40"/>
        <v>13.095226850256296</v>
      </c>
      <c r="H644">
        <f t="shared" si="41"/>
        <v>12.744219673193095</v>
      </c>
      <c r="I644">
        <f t="shared" si="42"/>
        <v>8.4084116476556741</v>
      </c>
    </row>
    <row r="645" spans="1:9" x14ac:dyDescent="0.25">
      <c r="A645" t="s">
        <v>308</v>
      </c>
      <c r="B645" t="str">
        <f t="shared" si="39"/>
        <v>Twin140Ultra0.87100</v>
      </c>
      <c r="C645">
        <v>0.87</v>
      </c>
      <c r="D645">
        <v>100</v>
      </c>
      <c r="E645">
        <v>1.161061502424293</v>
      </c>
      <c r="F645">
        <v>52.273200000000003</v>
      </c>
      <c r="G645">
        <f t="shared" si="40"/>
        <v>13.470616810651691</v>
      </c>
      <c r="H645">
        <f t="shared" si="41"/>
        <v>13.438211833614501</v>
      </c>
      <c r="I645">
        <f t="shared" si="42"/>
        <v>8.6192155767225209</v>
      </c>
    </row>
    <row r="646" spans="1:9" x14ac:dyDescent="0.25">
      <c r="A646" t="s">
        <v>308</v>
      </c>
      <c r="B646" t="str">
        <f t="shared" si="39"/>
        <v>Twin140Ultra0.87110</v>
      </c>
      <c r="C646">
        <v>0.87</v>
      </c>
      <c r="D646">
        <v>110</v>
      </c>
      <c r="E646">
        <v>1.2210224250847026</v>
      </c>
      <c r="F646">
        <v>53.644800000000004</v>
      </c>
      <c r="G646">
        <f t="shared" si="40"/>
        <v>13.847188818254352</v>
      </c>
      <c r="H646">
        <f t="shared" si="41"/>
        <v>14.132203994035908</v>
      </c>
      <c r="I646">
        <f t="shared" si="42"/>
        <v>8.8178361767918094</v>
      </c>
    </row>
    <row r="647" spans="1:9" x14ac:dyDescent="0.25">
      <c r="A647" t="s">
        <v>308</v>
      </c>
      <c r="B647" t="str">
        <f t="shared" si="39"/>
        <v>Twin140Ultra0.9430</v>
      </c>
      <c r="C647">
        <v>0.94</v>
      </c>
      <c r="D647">
        <v>30</v>
      </c>
      <c r="E647">
        <v>0.75768802270881097</v>
      </c>
      <c r="F647">
        <v>31.546800000000001</v>
      </c>
      <c r="G647">
        <f t="shared" si="40"/>
        <v>7.9240840718582959</v>
      </c>
      <c r="H647">
        <f t="shared" si="41"/>
        <v>8.7695372998704961</v>
      </c>
      <c r="I647">
        <f t="shared" si="42"/>
        <v>9.5618372525813413</v>
      </c>
    </row>
    <row r="648" spans="1:9" x14ac:dyDescent="0.25">
      <c r="A648" t="s">
        <v>308</v>
      </c>
      <c r="B648" t="str">
        <f t="shared" si="39"/>
        <v>Twin140Ultra0.9440</v>
      </c>
      <c r="C648">
        <v>0.94</v>
      </c>
      <c r="D648">
        <v>40</v>
      </c>
      <c r="E648">
        <v>0.87760986802962992</v>
      </c>
      <c r="F648">
        <v>38.404800000000002</v>
      </c>
      <c r="G648">
        <f t="shared" si="40"/>
        <v>9.7294543485080993</v>
      </c>
      <c r="H648">
        <f t="shared" si="41"/>
        <v>10.157521620713309</v>
      </c>
      <c r="I648">
        <f t="shared" si="42"/>
        <v>9.0201344966914974</v>
      </c>
    </row>
    <row r="649" spans="1:9" x14ac:dyDescent="0.25">
      <c r="A649" t="s">
        <v>308</v>
      </c>
      <c r="B649" t="str">
        <f t="shared" si="39"/>
        <v>Twin140Ultra0.9450</v>
      </c>
      <c r="C649">
        <v>0.94</v>
      </c>
      <c r="D649">
        <v>50</v>
      </c>
      <c r="E649">
        <v>0.98117873444306447</v>
      </c>
      <c r="F649">
        <v>42.976800000000004</v>
      </c>
      <c r="G649">
        <f t="shared" si="40"/>
        <v>10.94945185526408</v>
      </c>
      <c r="H649">
        <f t="shared" si="41"/>
        <v>11.356235352350282</v>
      </c>
      <c r="I649">
        <f t="shared" si="42"/>
        <v>8.9609849644788486</v>
      </c>
    </row>
    <row r="650" spans="1:9" x14ac:dyDescent="0.25">
      <c r="A650" t="s">
        <v>308</v>
      </c>
      <c r="B650" t="str">
        <f t="shared" si="39"/>
        <v>Twin140Ultra0.9460</v>
      </c>
      <c r="C650">
        <v>0.94</v>
      </c>
      <c r="D650">
        <v>60</v>
      </c>
      <c r="E650">
        <v>1.0738456149182429</v>
      </c>
      <c r="F650">
        <v>46.329599999999999</v>
      </c>
      <c r="G650">
        <f t="shared" si="40"/>
        <v>11.852463989879446</v>
      </c>
      <c r="H650">
        <f t="shared" si="41"/>
        <v>12.428768691183366</v>
      </c>
      <c r="I650">
        <f t="shared" si="42"/>
        <v>9.0601044292155262</v>
      </c>
    </row>
    <row r="651" spans="1:9" x14ac:dyDescent="0.25">
      <c r="A651" t="s">
        <v>308</v>
      </c>
      <c r="B651" t="str">
        <f t="shared" si="39"/>
        <v>Twin140Ultra0.9470</v>
      </c>
      <c r="C651">
        <v>0.94</v>
      </c>
      <c r="D651">
        <v>70</v>
      </c>
      <c r="E651">
        <v>1.155610509455165</v>
      </c>
      <c r="F651">
        <v>48.920400000000001</v>
      </c>
      <c r="G651">
        <f t="shared" si="40"/>
        <v>12.55508373154484</v>
      </c>
      <c r="H651">
        <f t="shared" si="41"/>
        <v>13.375121637212557</v>
      </c>
      <c r="I651">
        <f t="shared" si="42"/>
        <v>9.2043233973157488</v>
      </c>
    </row>
    <row r="652" spans="1:9" x14ac:dyDescent="0.25">
      <c r="A652" t="s">
        <v>308</v>
      </c>
      <c r="B652" t="str">
        <f t="shared" si="39"/>
        <v>Twin140Ultra0.9480</v>
      </c>
      <c r="C652">
        <v>0.94</v>
      </c>
      <c r="D652">
        <v>80</v>
      </c>
      <c r="E652">
        <v>1.237375403992087</v>
      </c>
      <c r="F652">
        <v>51.206400000000002</v>
      </c>
      <c r="G652">
        <f t="shared" si="40"/>
        <v>13.1785446892275</v>
      </c>
      <c r="H652">
        <f t="shared" si="41"/>
        <v>14.321474583241747</v>
      </c>
      <c r="I652">
        <f t="shared" si="42"/>
        <v>9.3893175094177987</v>
      </c>
    </row>
    <row r="653" spans="1:9" x14ac:dyDescent="0.25">
      <c r="A653" t="s">
        <v>308</v>
      </c>
      <c r="B653" t="str">
        <f t="shared" si="39"/>
        <v>Twin140Ultra0.9490</v>
      </c>
      <c r="C653">
        <v>0.94</v>
      </c>
      <c r="D653">
        <v>90</v>
      </c>
      <c r="E653">
        <v>1.3136893055598808</v>
      </c>
      <c r="F653">
        <v>53.34</v>
      </c>
      <c r="G653">
        <f t="shared" si="40"/>
        <v>13.763403997670423</v>
      </c>
      <c r="H653">
        <f t="shared" si="41"/>
        <v>15.204737332868991</v>
      </c>
      <c r="I653">
        <f t="shared" si="42"/>
        <v>9.5447994244900052</v>
      </c>
    </row>
    <row r="654" spans="1:9" x14ac:dyDescent="0.25">
      <c r="A654" t="s">
        <v>308</v>
      </c>
      <c r="B654" t="str">
        <f t="shared" si="39"/>
        <v>Twin140Ultra0.94100</v>
      </c>
      <c r="C654">
        <v>0.94</v>
      </c>
      <c r="D654">
        <v>100</v>
      </c>
      <c r="E654">
        <v>1.3845522141585465</v>
      </c>
      <c r="F654">
        <v>54.864000000000004</v>
      </c>
      <c r="G654">
        <f t="shared" si="40"/>
        <v>14.182911827605992</v>
      </c>
      <c r="H654">
        <f t="shared" si="41"/>
        <v>16.024909886094285</v>
      </c>
      <c r="I654">
        <f t="shared" si="42"/>
        <v>9.7621153609910891</v>
      </c>
    </row>
    <row r="655" spans="1:9" x14ac:dyDescent="0.25">
      <c r="A655" t="s">
        <v>308</v>
      </c>
      <c r="B655" t="str">
        <f t="shared" si="39"/>
        <v>Twin140Ultra0.94110</v>
      </c>
      <c r="C655">
        <v>0.94</v>
      </c>
      <c r="D655">
        <v>110</v>
      </c>
      <c r="E655">
        <v>1.4499641297880841</v>
      </c>
      <c r="F655">
        <v>56.235600000000005</v>
      </c>
      <c r="G655">
        <f t="shared" si="40"/>
        <v>14.561716591044522</v>
      </c>
      <c r="H655">
        <f t="shared" si="41"/>
        <v>16.781992242917639</v>
      </c>
      <c r="I655">
        <f t="shared" si="42"/>
        <v>9.9573708959547691</v>
      </c>
    </row>
    <row r="656" spans="1:9" x14ac:dyDescent="0.25">
      <c r="A656" t="s">
        <v>308</v>
      </c>
      <c r="B656" t="str">
        <f t="shared" si="39"/>
        <v>Twin140Ultra1.0230</v>
      </c>
      <c r="C656">
        <v>1.02</v>
      </c>
      <c r="D656">
        <v>30</v>
      </c>
      <c r="E656">
        <v>0.89396284693701444</v>
      </c>
      <c r="F656">
        <v>31.851600000000001</v>
      </c>
      <c r="G656">
        <f t="shared" si="40"/>
        <v>8.0036952442783971</v>
      </c>
      <c r="H656">
        <f t="shared" si="41"/>
        <v>10.346792209919148</v>
      </c>
      <c r="I656">
        <f t="shared" si="42"/>
        <v>11.169376389937907</v>
      </c>
    </row>
    <row r="657" spans="1:9" x14ac:dyDescent="0.25">
      <c r="A657" t="s">
        <v>308</v>
      </c>
      <c r="B657" t="str">
        <f t="shared" si="39"/>
        <v>Twin140Ultra1.0240</v>
      </c>
      <c r="C657">
        <v>1.02</v>
      </c>
      <c r="D657">
        <v>40</v>
      </c>
      <c r="E657">
        <v>1.0356886641343459</v>
      </c>
      <c r="F657">
        <v>39.624000000000002</v>
      </c>
      <c r="G657">
        <f t="shared" si="40"/>
        <v>10.053502817541336</v>
      </c>
      <c r="H657">
        <f t="shared" si="41"/>
        <v>11.987137316369743</v>
      </c>
      <c r="I657">
        <f t="shared" si="42"/>
        <v>10.301769273165945</v>
      </c>
    </row>
    <row r="658" spans="1:9" x14ac:dyDescent="0.25">
      <c r="A658" t="s">
        <v>308</v>
      </c>
      <c r="B658" t="str">
        <f t="shared" si="39"/>
        <v>Twin140Ultra1.0250</v>
      </c>
      <c r="C658">
        <v>1.02</v>
      </c>
      <c r="D658">
        <v>50</v>
      </c>
      <c r="E658">
        <v>1.155610509455165</v>
      </c>
      <c r="F658">
        <v>44.805600000000005</v>
      </c>
      <c r="G658">
        <f t="shared" si="40"/>
        <v>11.441128338166763</v>
      </c>
      <c r="H658">
        <f t="shared" si="41"/>
        <v>13.375121637212557</v>
      </c>
      <c r="I658">
        <f t="shared" si="42"/>
        <v>10.100494245835293</v>
      </c>
    </row>
    <row r="659" spans="1:9" x14ac:dyDescent="0.25">
      <c r="A659" t="s">
        <v>308</v>
      </c>
      <c r="B659" t="str">
        <f t="shared" si="39"/>
        <v>Twin140Ultra1.0260</v>
      </c>
      <c r="C659">
        <v>1.02</v>
      </c>
      <c r="D659">
        <v>60</v>
      </c>
      <c r="E659">
        <v>1.2646303688377276</v>
      </c>
      <c r="F659">
        <v>48.463200000000001</v>
      </c>
      <c r="G659">
        <f t="shared" si="40"/>
        <v>12.430785555744073</v>
      </c>
      <c r="H659">
        <f t="shared" si="41"/>
        <v>14.636925565251476</v>
      </c>
      <c r="I659">
        <f t="shared" si="42"/>
        <v>10.173374507722576</v>
      </c>
    </row>
    <row r="660" spans="1:9" x14ac:dyDescent="0.25">
      <c r="A660" t="s">
        <v>308</v>
      </c>
      <c r="B660" t="str">
        <f t="shared" si="39"/>
        <v>Twin140Ultra1.0270</v>
      </c>
      <c r="C660">
        <v>1.02</v>
      </c>
      <c r="D660">
        <v>70</v>
      </c>
      <c r="E660">
        <v>1.368199235251162</v>
      </c>
      <c r="F660">
        <v>51.358800000000002</v>
      </c>
      <c r="G660">
        <f t="shared" si="40"/>
        <v>13.220225498476168</v>
      </c>
      <c r="H660">
        <f t="shared" si="41"/>
        <v>15.835639296888449</v>
      </c>
      <c r="I660">
        <f t="shared" si="42"/>
        <v>10.349288182783779</v>
      </c>
    </row>
    <row r="661" spans="1:9" x14ac:dyDescent="0.25">
      <c r="A661" t="s">
        <v>308</v>
      </c>
      <c r="B661" t="str">
        <f t="shared" si="39"/>
        <v>Twin140Ultra1.0280</v>
      </c>
      <c r="C661">
        <v>1.02</v>
      </c>
      <c r="D661">
        <v>80</v>
      </c>
      <c r="E661">
        <v>1.4608661157263405</v>
      </c>
      <c r="F661">
        <v>53.949600000000004</v>
      </c>
      <c r="G661">
        <f t="shared" si="40"/>
        <v>13.93103201153987</v>
      </c>
      <c r="H661">
        <f t="shared" si="41"/>
        <v>16.908172635721535</v>
      </c>
      <c r="I661">
        <f t="shared" si="42"/>
        <v>10.486417047324432</v>
      </c>
    </row>
    <row r="662" spans="1:9" x14ac:dyDescent="0.25">
      <c r="A662" t="s">
        <v>308</v>
      </c>
      <c r="B662" t="str">
        <f t="shared" si="39"/>
        <v>Twin140Ultra1.0290</v>
      </c>
      <c r="C662">
        <v>1.02</v>
      </c>
      <c r="D662">
        <v>90</v>
      </c>
      <c r="E662">
        <v>1.5480820032323908</v>
      </c>
      <c r="F662">
        <v>56.235600000000005</v>
      </c>
      <c r="G662">
        <f t="shared" si="40"/>
        <v>14.561716591044522</v>
      </c>
      <c r="H662">
        <f t="shared" si="41"/>
        <v>17.917615778152669</v>
      </c>
      <c r="I662">
        <f t="shared" si="42"/>
        <v>10.63117794906449</v>
      </c>
    </row>
    <row r="663" spans="1:9" x14ac:dyDescent="0.25">
      <c r="A663" t="s">
        <v>308</v>
      </c>
      <c r="B663" t="str">
        <f t="shared" si="39"/>
        <v>Twin140Ultra1.02100</v>
      </c>
      <c r="C663">
        <v>1.02</v>
      </c>
      <c r="D663">
        <v>100</v>
      </c>
      <c r="E663">
        <v>1.635297890738441</v>
      </c>
      <c r="F663">
        <v>57.759600000000006</v>
      </c>
      <c r="G663">
        <f t="shared" si="40"/>
        <v>14.983997124305716</v>
      </c>
      <c r="H663">
        <f t="shared" si="41"/>
        <v>18.927058920583807</v>
      </c>
      <c r="I663">
        <f t="shared" si="42"/>
        <v>10.913629235057748</v>
      </c>
    </row>
    <row r="664" spans="1:9" x14ac:dyDescent="0.25">
      <c r="A664" t="s">
        <v>308</v>
      </c>
      <c r="B664" t="str">
        <f t="shared" si="39"/>
        <v>Twin140Ultra1.02110</v>
      </c>
      <c r="C664">
        <v>1.02</v>
      </c>
      <c r="D664">
        <v>110</v>
      </c>
      <c r="E664">
        <v>1.7116117923062348</v>
      </c>
      <c r="F664">
        <v>59.1312</v>
      </c>
      <c r="G664">
        <f t="shared" si="40"/>
        <v>15.365297320737312</v>
      </c>
      <c r="H664">
        <f t="shared" si="41"/>
        <v>19.810321670211049</v>
      </c>
      <c r="I664">
        <f t="shared" si="42"/>
        <v>11.139464187238403</v>
      </c>
    </row>
    <row r="665" spans="1:9" x14ac:dyDescent="0.25">
      <c r="A665" t="s">
        <v>308</v>
      </c>
      <c r="B665" t="str">
        <f t="shared" si="39"/>
        <v>Twin140Ultra1.130</v>
      </c>
      <c r="C665">
        <v>1.1000000000000001</v>
      </c>
      <c r="D665">
        <v>30</v>
      </c>
      <c r="E665">
        <v>1.0302376711652177</v>
      </c>
      <c r="F665">
        <v>32.004000000000005</v>
      </c>
      <c r="G665">
        <f t="shared" si="40"/>
        <v>8.0435227202515449</v>
      </c>
      <c r="H665">
        <f t="shared" si="41"/>
        <v>11.924047119967797</v>
      </c>
      <c r="I665">
        <f t="shared" si="42"/>
        <v>12.808289439791611</v>
      </c>
    </row>
    <row r="666" spans="1:9" x14ac:dyDescent="0.25">
      <c r="A666" t="s">
        <v>308</v>
      </c>
      <c r="B666" t="str">
        <f t="shared" si="39"/>
        <v>Twin140Ultra1.140</v>
      </c>
      <c r="C666">
        <v>1.1000000000000001</v>
      </c>
      <c r="D666">
        <v>40</v>
      </c>
      <c r="E666">
        <v>1.193767460239062</v>
      </c>
      <c r="F666">
        <v>40.690800000000003</v>
      </c>
      <c r="G666">
        <f t="shared" si="40"/>
        <v>10.337811369653814</v>
      </c>
      <c r="H666">
        <f t="shared" si="41"/>
        <v>13.816753012026179</v>
      </c>
      <c r="I666">
        <f t="shared" si="42"/>
        <v>11.547584082867997</v>
      </c>
    </row>
    <row r="667" spans="1:9" x14ac:dyDescent="0.25">
      <c r="A667" t="s">
        <v>308</v>
      </c>
      <c r="B667" t="str">
        <f t="shared" si="39"/>
        <v>Twin140Ultra1.150</v>
      </c>
      <c r="C667">
        <v>1.1000000000000001</v>
      </c>
      <c r="D667">
        <v>50</v>
      </c>
      <c r="E667">
        <v>1.3354932774363935</v>
      </c>
      <c r="F667">
        <v>46.634399999999999</v>
      </c>
      <c r="G667">
        <f t="shared" si="40"/>
        <v>11.934906238326754</v>
      </c>
      <c r="H667">
        <f t="shared" si="41"/>
        <v>15.457098118476775</v>
      </c>
      <c r="I667">
        <f t="shared" si="42"/>
        <v>11.189809544943911</v>
      </c>
    </row>
    <row r="668" spans="1:9" x14ac:dyDescent="0.25">
      <c r="A668" t="s">
        <v>308</v>
      </c>
      <c r="B668" t="str">
        <f t="shared" si="39"/>
        <v>Twin140Ultra1.160</v>
      </c>
      <c r="C668">
        <v>1.1000000000000001</v>
      </c>
      <c r="D668">
        <v>60</v>
      </c>
      <c r="E668">
        <v>1.4608661157263405</v>
      </c>
      <c r="F668">
        <v>50.596800000000002</v>
      </c>
      <c r="G668">
        <f t="shared" si="40"/>
        <v>13.011967383986693</v>
      </c>
      <c r="H668">
        <f t="shared" si="41"/>
        <v>16.908172635721535</v>
      </c>
      <c r="I668">
        <f t="shared" si="42"/>
        <v>11.227096353808648</v>
      </c>
    </row>
    <row r="669" spans="1:9" x14ac:dyDescent="0.25">
      <c r="A669" t="s">
        <v>308</v>
      </c>
      <c r="B669" t="str">
        <f t="shared" si="39"/>
        <v>Twin140Ultra1.170</v>
      </c>
      <c r="C669">
        <v>1.1000000000000001</v>
      </c>
      <c r="D669">
        <v>70</v>
      </c>
      <c r="E669">
        <v>1.5753369680780314</v>
      </c>
      <c r="F669">
        <v>53.797200000000004</v>
      </c>
      <c r="G669">
        <f t="shared" si="40"/>
        <v>13.889103118309407</v>
      </c>
      <c r="H669">
        <f t="shared" si="41"/>
        <v>18.233066760162398</v>
      </c>
      <c r="I669">
        <f t="shared" si="42"/>
        <v>11.342251221400556</v>
      </c>
    </row>
    <row r="670" spans="1:9" x14ac:dyDescent="0.25">
      <c r="A670" t="s">
        <v>308</v>
      </c>
      <c r="B670" t="str">
        <f t="shared" si="39"/>
        <v>Twin140Ultra1.180</v>
      </c>
      <c r="C670">
        <v>1.1000000000000001</v>
      </c>
      <c r="D670">
        <v>80</v>
      </c>
      <c r="E670">
        <v>1.6843568274605942</v>
      </c>
      <c r="F670">
        <v>56.692800000000005</v>
      </c>
      <c r="G670">
        <f t="shared" si="40"/>
        <v>14.688247522681216</v>
      </c>
      <c r="H670">
        <f t="shared" si="41"/>
        <v>19.494870688201321</v>
      </c>
      <c r="I670">
        <f t="shared" si="42"/>
        <v>11.467377744415415</v>
      </c>
    </row>
    <row r="671" spans="1:9" x14ac:dyDescent="0.25">
      <c r="A671" t="s">
        <v>308</v>
      </c>
      <c r="B671" t="str">
        <f t="shared" si="39"/>
        <v>Twin140Ultra1.190</v>
      </c>
      <c r="C671">
        <v>1.1000000000000001</v>
      </c>
      <c r="D671">
        <v>90</v>
      </c>
      <c r="E671">
        <v>1.7879256938740289</v>
      </c>
      <c r="F671">
        <v>58.9788</v>
      </c>
      <c r="G671">
        <f t="shared" si="40"/>
        <v>15.322872259543317</v>
      </c>
      <c r="H671">
        <f t="shared" si="41"/>
        <v>20.693584419838295</v>
      </c>
      <c r="I671">
        <f t="shared" si="42"/>
        <v>11.668345618168823</v>
      </c>
    </row>
    <row r="672" spans="1:9" x14ac:dyDescent="0.25">
      <c r="A672" t="s">
        <v>308</v>
      </c>
      <c r="B672" t="str">
        <f t="shared" si="39"/>
        <v>Twin140Ultra1.1100</v>
      </c>
      <c r="C672">
        <v>1.1000000000000001</v>
      </c>
      <c r="D672">
        <v>100</v>
      </c>
      <c r="E672">
        <v>1.8860435673183351</v>
      </c>
      <c r="F672">
        <v>60.655200000000001</v>
      </c>
      <c r="G672">
        <f t="shared" si="40"/>
        <v>15.790350557324125</v>
      </c>
      <c r="H672">
        <f t="shared" si="41"/>
        <v>21.829207955073322</v>
      </c>
      <c r="I672">
        <f t="shared" si="42"/>
        <v>11.944279263917426</v>
      </c>
    </row>
    <row r="673" spans="1:9" x14ac:dyDescent="0.25">
      <c r="A673" t="s">
        <v>308</v>
      </c>
      <c r="B673" t="str">
        <f t="shared" si="39"/>
        <v>Twin140Ultra1.1110</v>
      </c>
      <c r="C673">
        <v>1.1000000000000001</v>
      </c>
      <c r="D673">
        <v>110</v>
      </c>
      <c r="E673">
        <v>1.9787104477935133</v>
      </c>
      <c r="F673">
        <v>61.874400000000001</v>
      </c>
      <c r="G673">
        <f t="shared" si="40"/>
        <v>16.13144385522223</v>
      </c>
      <c r="H673">
        <f t="shared" si="41"/>
        <v>22.901741293906404</v>
      </c>
      <c r="I673">
        <f t="shared" si="42"/>
        <v>12.266170750443679</v>
      </c>
    </row>
    <row r="674" spans="1:9" x14ac:dyDescent="0.25">
      <c r="A674" t="s">
        <v>308</v>
      </c>
      <c r="B674" t="str">
        <f t="shared" si="39"/>
        <v>Twin140Ultra1.1830</v>
      </c>
      <c r="C674">
        <v>1.18</v>
      </c>
      <c r="D674">
        <v>30</v>
      </c>
      <c r="E674">
        <v>1.1828654743008056</v>
      </c>
      <c r="F674">
        <v>32.613599999999998</v>
      </c>
      <c r="G674">
        <f t="shared" si="40"/>
        <v>8.2029785558981061</v>
      </c>
      <c r="H674">
        <f t="shared" si="41"/>
        <v>13.690572619222285</v>
      </c>
      <c r="I674">
        <f t="shared" si="42"/>
        <v>14.419950829327741</v>
      </c>
    </row>
    <row r="675" spans="1:9" x14ac:dyDescent="0.25">
      <c r="A675" t="s">
        <v>308</v>
      </c>
      <c r="B675" t="str">
        <f t="shared" si="39"/>
        <v>Twin140Ultra1.1840</v>
      </c>
      <c r="C675">
        <v>1.18</v>
      </c>
      <c r="D675">
        <v>40</v>
      </c>
      <c r="E675">
        <v>1.368199235251162</v>
      </c>
      <c r="F675">
        <v>42.062400000000004</v>
      </c>
      <c r="G675">
        <f t="shared" si="40"/>
        <v>10.704401645284221</v>
      </c>
      <c r="H675">
        <f t="shared" si="41"/>
        <v>15.835639296888449</v>
      </c>
      <c r="I675">
        <f t="shared" si="42"/>
        <v>12.781650769372208</v>
      </c>
    </row>
    <row r="676" spans="1:9" x14ac:dyDescent="0.25">
      <c r="A676" t="s">
        <v>308</v>
      </c>
      <c r="B676" t="str">
        <f t="shared" si="39"/>
        <v>Twin140Ultra1.1850</v>
      </c>
      <c r="C676">
        <v>1.18</v>
      </c>
      <c r="D676">
        <v>50</v>
      </c>
      <c r="E676">
        <v>1.5317290243250063</v>
      </c>
      <c r="F676">
        <v>47.7012</v>
      </c>
      <c r="G676">
        <f t="shared" si="40"/>
        <v>12.223913792917372</v>
      </c>
      <c r="H676">
        <f t="shared" si="41"/>
        <v>17.728345188946832</v>
      </c>
      <c r="I676">
        <f t="shared" si="42"/>
        <v>12.530594131091647</v>
      </c>
    </row>
    <row r="677" spans="1:9" x14ac:dyDescent="0.25">
      <c r="A677" t="s">
        <v>308</v>
      </c>
      <c r="B677" t="str">
        <f t="shared" si="39"/>
        <v>Twin140Ultra1.1860</v>
      </c>
      <c r="C677">
        <v>1.18</v>
      </c>
      <c r="D677">
        <v>60</v>
      </c>
      <c r="E677">
        <v>1.678905834491466</v>
      </c>
      <c r="F677">
        <v>52.120800000000003</v>
      </c>
      <c r="G677">
        <f t="shared" si="40"/>
        <v>13.428848442350628</v>
      </c>
      <c r="H677">
        <f t="shared" si="41"/>
        <v>19.431780491799373</v>
      </c>
      <c r="I677">
        <f t="shared" si="42"/>
        <v>12.502232352229786</v>
      </c>
    </row>
    <row r="678" spans="1:9" x14ac:dyDescent="0.25">
      <c r="A678" t="s">
        <v>308</v>
      </c>
      <c r="B678" t="str">
        <f t="shared" ref="B678:B741" si="43">A678&amp;C678&amp;D678</f>
        <v>Twin140Ultra1.1870</v>
      </c>
      <c r="C678">
        <v>1.18</v>
      </c>
      <c r="D678">
        <v>70</v>
      </c>
      <c r="E678">
        <v>1.8097296657505413</v>
      </c>
      <c r="F678">
        <v>56.083200000000005</v>
      </c>
      <c r="G678">
        <f t="shared" si="40"/>
        <v>14.519568800183116</v>
      </c>
      <c r="H678">
        <f t="shared" si="41"/>
        <v>20.94594520544608</v>
      </c>
      <c r="I678">
        <f t="shared" si="42"/>
        <v>12.46407307720955</v>
      </c>
    </row>
    <row r="679" spans="1:9" x14ac:dyDescent="0.25">
      <c r="A679" t="s">
        <v>308</v>
      </c>
      <c r="B679" t="str">
        <f t="shared" si="43"/>
        <v>Twin140Ultra1.1880</v>
      </c>
      <c r="C679">
        <v>1.18</v>
      </c>
      <c r="D679">
        <v>80</v>
      </c>
      <c r="E679">
        <v>1.9351025040404883</v>
      </c>
      <c r="F679">
        <v>59.1312</v>
      </c>
      <c r="G679">
        <f t="shared" si="40"/>
        <v>15.365297320737312</v>
      </c>
      <c r="H679">
        <f t="shared" si="41"/>
        <v>22.397019722690835</v>
      </c>
      <c r="I679">
        <f t="shared" si="42"/>
        <v>12.593980211686729</v>
      </c>
    </row>
    <row r="680" spans="1:9" x14ac:dyDescent="0.25">
      <c r="A680" t="s">
        <v>308</v>
      </c>
      <c r="B680" t="str">
        <f t="shared" si="43"/>
        <v>Twin140Ultra1.1890</v>
      </c>
      <c r="C680">
        <v>1.18</v>
      </c>
      <c r="D680">
        <v>90</v>
      </c>
      <c r="E680">
        <v>2.0550243493613074</v>
      </c>
      <c r="F680">
        <v>61.417200000000001</v>
      </c>
      <c r="G680">
        <f t="shared" si="40"/>
        <v>16.003424419694959</v>
      </c>
      <c r="H680">
        <f t="shared" si="41"/>
        <v>23.78500404353365</v>
      </c>
      <c r="I680">
        <f t="shared" si="42"/>
        <v>12.841153839750993</v>
      </c>
    </row>
    <row r="681" spans="1:9" x14ac:dyDescent="0.25">
      <c r="A681" t="s">
        <v>308</v>
      </c>
      <c r="B681" t="str">
        <f t="shared" si="43"/>
        <v>Twin140Ultra1.18100</v>
      </c>
      <c r="C681">
        <v>1.18</v>
      </c>
      <c r="D681">
        <v>100</v>
      </c>
      <c r="E681">
        <v>2.1640442087438703</v>
      </c>
      <c r="F681">
        <v>63.093600000000002</v>
      </c>
      <c r="G681">
        <f t="shared" si="40"/>
        <v>16.473471116345813</v>
      </c>
      <c r="H681">
        <f t="shared" si="41"/>
        <v>25.046807971572573</v>
      </c>
      <c r="I681">
        <f t="shared" si="42"/>
        <v>13.136540523002441</v>
      </c>
    </row>
    <row r="682" spans="1:9" x14ac:dyDescent="0.25">
      <c r="A682" t="s">
        <v>308</v>
      </c>
      <c r="B682" t="str">
        <f t="shared" si="43"/>
        <v>Twin140Ultra1.18110</v>
      </c>
      <c r="C682">
        <v>1.18</v>
      </c>
      <c r="D682">
        <v>110</v>
      </c>
      <c r="E682">
        <v>2.2676130751573047</v>
      </c>
      <c r="F682">
        <v>64.46520000000001</v>
      </c>
      <c r="G682">
        <f t="shared" si="40"/>
        <v>16.859368163027789</v>
      </c>
      <c r="H682">
        <f t="shared" si="41"/>
        <v>26.245521703209544</v>
      </c>
      <c r="I682">
        <f t="shared" si="42"/>
        <v>13.450166419226367</v>
      </c>
    </row>
    <row r="683" spans="1:9" x14ac:dyDescent="0.25">
      <c r="A683" t="s">
        <v>308</v>
      </c>
      <c r="B683" t="str">
        <f t="shared" si="43"/>
        <v>Twin140Ultra1.2630</v>
      </c>
      <c r="C683">
        <v>1.26</v>
      </c>
      <c r="D683">
        <v>30</v>
      </c>
      <c r="E683">
        <v>1.3572972493129059</v>
      </c>
      <c r="F683">
        <v>33.375599999999999</v>
      </c>
      <c r="G683">
        <f t="shared" si="40"/>
        <v>8.4026266969027787</v>
      </c>
      <c r="H683">
        <f t="shared" si="41"/>
        <v>15.709458904084558</v>
      </c>
      <c r="I683">
        <f t="shared" si="42"/>
        <v>16.153249433456416</v>
      </c>
    </row>
    <row r="684" spans="1:9" x14ac:dyDescent="0.25">
      <c r="A684" t="s">
        <v>308</v>
      </c>
      <c r="B684" t="str">
        <f t="shared" si="43"/>
        <v>Twin140Ultra1.2640</v>
      </c>
      <c r="C684">
        <v>1.26</v>
      </c>
      <c r="D684">
        <v>40</v>
      </c>
      <c r="E684">
        <v>1.5698859751089032</v>
      </c>
      <c r="F684">
        <v>43.129200000000004</v>
      </c>
      <c r="G684">
        <f t="shared" si="40"/>
        <v>10.990344633041275</v>
      </c>
      <c r="H684">
        <f t="shared" si="41"/>
        <v>18.169976563760454</v>
      </c>
      <c r="I684">
        <f t="shared" si="42"/>
        <v>14.284228816530575</v>
      </c>
    </row>
    <row r="685" spans="1:9" x14ac:dyDescent="0.25">
      <c r="A685" t="s">
        <v>308</v>
      </c>
      <c r="B685" t="str">
        <f t="shared" si="43"/>
        <v>Twin140Ultra1.2650</v>
      </c>
      <c r="C685">
        <v>1.26</v>
      </c>
      <c r="D685">
        <v>50</v>
      </c>
      <c r="E685">
        <v>1.7552197360592598</v>
      </c>
      <c r="F685">
        <v>48.920400000000001</v>
      </c>
      <c r="G685">
        <f t="shared" si="40"/>
        <v>12.55508373154484</v>
      </c>
      <c r="H685">
        <f t="shared" si="41"/>
        <v>20.315043241426618</v>
      </c>
      <c r="I685">
        <f t="shared" si="42"/>
        <v>13.980151575168259</v>
      </c>
    </row>
    <row r="686" spans="1:9" x14ac:dyDescent="0.25">
      <c r="A686" t="s">
        <v>308</v>
      </c>
      <c r="B686" t="str">
        <f t="shared" si="43"/>
        <v>Twin140Ultra1.2660</v>
      </c>
      <c r="C686">
        <v>1.26</v>
      </c>
      <c r="D686">
        <v>60</v>
      </c>
      <c r="E686">
        <v>1.9242005181022319</v>
      </c>
      <c r="F686">
        <v>53.644800000000004</v>
      </c>
      <c r="G686">
        <f t="shared" si="40"/>
        <v>13.847188818254352</v>
      </c>
      <c r="H686">
        <f t="shared" si="41"/>
        <v>22.270839329886943</v>
      </c>
      <c r="I686">
        <f t="shared" si="42"/>
        <v>13.895965046462091</v>
      </c>
    </row>
    <row r="687" spans="1:9" x14ac:dyDescent="0.25">
      <c r="A687" t="s">
        <v>308</v>
      </c>
      <c r="B687" t="str">
        <f t="shared" si="43"/>
        <v>Twin140Ultra1.2670</v>
      </c>
      <c r="C687">
        <v>1.26</v>
      </c>
      <c r="D687">
        <v>70</v>
      </c>
      <c r="E687">
        <v>2.0768283212378198</v>
      </c>
      <c r="F687">
        <v>58.369200000000006</v>
      </c>
      <c r="G687">
        <f t="shared" si="40"/>
        <v>15.153317946521341</v>
      </c>
      <c r="H687">
        <f t="shared" si="41"/>
        <v>24.037364829141431</v>
      </c>
      <c r="I687">
        <f t="shared" si="42"/>
        <v>13.70543618610329</v>
      </c>
    </row>
    <row r="688" spans="1:9" x14ac:dyDescent="0.25">
      <c r="A688" t="s">
        <v>308</v>
      </c>
      <c r="B688" t="str">
        <f t="shared" si="43"/>
        <v>Twin140Ultra1.2680</v>
      </c>
      <c r="C688">
        <v>1.26</v>
      </c>
      <c r="D688">
        <v>80</v>
      </c>
      <c r="E688">
        <v>2.2185541384351515</v>
      </c>
      <c r="F688">
        <v>61.569600000000001</v>
      </c>
      <c r="G688">
        <f t="shared" si="40"/>
        <v>16.04608297169532</v>
      </c>
      <c r="H688">
        <f t="shared" si="41"/>
        <v>25.677709935592031</v>
      </c>
      <c r="I688">
        <f t="shared" si="42"/>
        <v>13.826141509729176</v>
      </c>
    </row>
    <row r="689" spans="1:9" x14ac:dyDescent="0.25">
      <c r="A689" t="s">
        <v>308</v>
      </c>
      <c r="B689" t="str">
        <f t="shared" si="43"/>
        <v>Twin140Ultra1.2690</v>
      </c>
      <c r="C689">
        <v>1.26</v>
      </c>
      <c r="D689">
        <v>90</v>
      </c>
      <c r="E689">
        <v>2.3548289626633552</v>
      </c>
      <c r="F689">
        <v>63.703200000000002</v>
      </c>
      <c r="G689">
        <f t="shared" si="40"/>
        <v>16.64483498311715</v>
      </c>
      <c r="H689">
        <f t="shared" si="41"/>
        <v>27.254964845640682</v>
      </c>
      <c r="I689">
        <f t="shared" si="42"/>
        <v>14.14750560790694</v>
      </c>
    </row>
    <row r="690" spans="1:9" x14ac:dyDescent="0.25">
      <c r="A690" t="s">
        <v>308</v>
      </c>
      <c r="B690" t="str">
        <f t="shared" si="43"/>
        <v>Twin140Ultra1.26100</v>
      </c>
      <c r="C690">
        <v>1.26</v>
      </c>
      <c r="D690">
        <v>100</v>
      </c>
      <c r="E690">
        <v>2.480201800953302</v>
      </c>
      <c r="F690">
        <v>65.531999999999996</v>
      </c>
      <c r="G690">
        <f t="shared" si="40"/>
        <v>17.160327528269384</v>
      </c>
      <c r="H690">
        <f t="shared" si="41"/>
        <v>28.706039362885438</v>
      </c>
      <c r="I690">
        <f t="shared" si="42"/>
        <v>14.453114585764727</v>
      </c>
    </row>
    <row r="691" spans="1:9" x14ac:dyDescent="0.25">
      <c r="A691" t="s">
        <v>308</v>
      </c>
      <c r="B691" t="str">
        <f t="shared" si="43"/>
        <v>Twin140Ultra1.26110</v>
      </c>
      <c r="C691">
        <v>1.26</v>
      </c>
      <c r="D691">
        <v>110</v>
      </c>
      <c r="E691">
        <v>2.6055746392432493</v>
      </c>
      <c r="F691">
        <v>66.903599999999997</v>
      </c>
      <c r="G691">
        <f t="shared" si="40"/>
        <v>17.548325992208682</v>
      </c>
      <c r="H691">
        <f t="shared" si="41"/>
        <v>30.157113880130197</v>
      </c>
      <c r="I691">
        <f t="shared" si="42"/>
        <v>14.847995417911108</v>
      </c>
    </row>
    <row r="692" spans="1:9" x14ac:dyDescent="0.25">
      <c r="A692" t="s">
        <v>308</v>
      </c>
      <c r="B692" t="str">
        <f t="shared" si="43"/>
        <v>Twin140Ultra1.3430</v>
      </c>
      <c r="C692">
        <v>1.34</v>
      </c>
      <c r="D692">
        <v>30</v>
      </c>
      <c r="E692">
        <v>1.5262780313558781</v>
      </c>
      <c r="F692">
        <v>33.832799999999999</v>
      </c>
      <c r="G692">
        <f t="shared" si="40"/>
        <v>8.5225906996103404</v>
      </c>
      <c r="H692">
        <f t="shared" si="41"/>
        <v>17.665254992544885</v>
      </c>
      <c r="I692">
        <f t="shared" si="42"/>
        <v>17.908615879273199</v>
      </c>
    </row>
    <row r="693" spans="1:9" x14ac:dyDescent="0.25">
      <c r="A693" t="s">
        <v>308</v>
      </c>
      <c r="B693" t="str">
        <f t="shared" si="43"/>
        <v>Twin140Ultra1.3440</v>
      </c>
      <c r="C693">
        <v>1.34</v>
      </c>
      <c r="D693">
        <v>40</v>
      </c>
      <c r="E693">
        <v>1.7606707290283881</v>
      </c>
      <c r="F693">
        <v>43.738800000000005</v>
      </c>
      <c r="G693">
        <f t="shared" si="40"/>
        <v>11.15406167590406</v>
      </c>
      <c r="H693">
        <f t="shared" si="41"/>
        <v>20.378133437828563</v>
      </c>
      <c r="I693">
        <f t="shared" si="42"/>
        <v>15.785018768830522</v>
      </c>
    </row>
    <row r="694" spans="1:9" x14ac:dyDescent="0.25">
      <c r="A694" t="s">
        <v>308</v>
      </c>
      <c r="B694" t="str">
        <f t="shared" si="43"/>
        <v>Twin140Ultra1.3450</v>
      </c>
      <c r="C694">
        <v>1.34</v>
      </c>
      <c r="D694">
        <v>50</v>
      </c>
      <c r="E694">
        <v>1.9678084618552572</v>
      </c>
      <c r="F694">
        <v>50.292000000000002</v>
      </c>
      <c r="G694">
        <f t="shared" si="40"/>
        <v>12.928766290418693</v>
      </c>
      <c r="H694">
        <f t="shared" si="41"/>
        <v>22.775560901102512</v>
      </c>
      <c r="I694">
        <f t="shared" si="42"/>
        <v>15.220388532458578</v>
      </c>
    </row>
    <row r="695" spans="1:9" x14ac:dyDescent="0.25">
      <c r="A695" t="s">
        <v>308</v>
      </c>
      <c r="B695" t="str">
        <f t="shared" si="43"/>
        <v>Twin140Ultra1.3460</v>
      </c>
      <c r="C695">
        <v>1.34</v>
      </c>
      <c r="D695">
        <v>60</v>
      </c>
      <c r="E695">
        <v>2.1531422228056138</v>
      </c>
      <c r="F695">
        <v>55.626000000000005</v>
      </c>
      <c r="G695">
        <f t="shared" si="40"/>
        <v>14.393212986651186</v>
      </c>
      <c r="H695">
        <f t="shared" si="41"/>
        <v>24.920627578768677</v>
      </c>
      <c r="I695">
        <f t="shared" si="42"/>
        <v>14.959427230059891</v>
      </c>
    </row>
    <row r="696" spans="1:9" x14ac:dyDescent="0.25">
      <c r="A696" t="s">
        <v>308</v>
      </c>
      <c r="B696" t="str">
        <f t="shared" si="43"/>
        <v>Twin140Ultra1.3470</v>
      </c>
      <c r="C696">
        <v>1.34</v>
      </c>
      <c r="D696">
        <v>70</v>
      </c>
      <c r="E696">
        <v>2.3275739978177143</v>
      </c>
      <c r="F696">
        <v>60.198</v>
      </c>
      <c r="G696">
        <f t="shared" si="40"/>
        <v>15.662681358006409</v>
      </c>
      <c r="H696">
        <f t="shared" si="41"/>
        <v>26.939513863630953</v>
      </c>
      <c r="I696">
        <f t="shared" si="42"/>
        <v>14.860635574558955</v>
      </c>
    </row>
    <row r="697" spans="1:9" x14ac:dyDescent="0.25">
      <c r="A697" t="s">
        <v>308</v>
      </c>
      <c r="B697" t="str">
        <f t="shared" si="43"/>
        <v>Twin140Ultra1.3480</v>
      </c>
      <c r="C697">
        <v>1.34</v>
      </c>
      <c r="D697">
        <v>80</v>
      </c>
      <c r="E697">
        <v>2.4911037868915584</v>
      </c>
      <c r="F697">
        <v>63.855600000000003</v>
      </c>
      <c r="G697">
        <f t="shared" si="40"/>
        <v>16.687712432748484</v>
      </c>
      <c r="H697">
        <f t="shared" si="41"/>
        <v>28.832219755689334</v>
      </c>
      <c r="I697">
        <f t="shared" si="42"/>
        <v>14.927772736561179</v>
      </c>
    </row>
    <row r="698" spans="1:9" x14ac:dyDescent="0.25">
      <c r="A698" t="s">
        <v>308</v>
      </c>
      <c r="B698" t="str">
        <f t="shared" si="43"/>
        <v>Twin140Ultra1.3490</v>
      </c>
      <c r="C698">
        <v>1.34</v>
      </c>
      <c r="D698">
        <v>90</v>
      </c>
      <c r="E698">
        <v>2.6382805970580181</v>
      </c>
      <c r="F698">
        <v>66.446399999999997</v>
      </c>
      <c r="G698">
        <f t="shared" si="40"/>
        <v>17.418861832316999</v>
      </c>
      <c r="H698">
        <f t="shared" si="41"/>
        <v>30.535655058541874</v>
      </c>
      <c r="I698">
        <f t="shared" si="42"/>
        <v>15.146113577657804</v>
      </c>
    </row>
    <row r="699" spans="1:9" x14ac:dyDescent="0.25">
      <c r="A699" t="s">
        <v>308</v>
      </c>
      <c r="B699" t="str">
        <f t="shared" si="43"/>
        <v>Twin140Ultra1.34100</v>
      </c>
      <c r="C699">
        <v>1.34</v>
      </c>
      <c r="D699">
        <v>100</v>
      </c>
      <c r="E699">
        <v>2.7854574072244773</v>
      </c>
      <c r="F699">
        <v>68.427599999999998</v>
      </c>
      <c r="G699">
        <f t="shared" si="40"/>
        <v>17.980821748248474</v>
      </c>
      <c r="H699">
        <f t="shared" si="41"/>
        <v>32.23909036139441</v>
      </c>
      <c r="I699">
        <f t="shared" si="42"/>
        <v>15.491268676281777</v>
      </c>
    </row>
    <row r="700" spans="1:9" x14ac:dyDescent="0.25">
      <c r="A700" t="s">
        <v>308</v>
      </c>
      <c r="B700" t="str">
        <f t="shared" si="43"/>
        <v>Twin140Ultra1.34110</v>
      </c>
      <c r="C700">
        <v>1.34</v>
      </c>
      <c r="D700">
        <v>110</v>
      </c>
      <c r="E700">
        <v>2.9162812384835526</v>
      </c>
      <c r="F700">
        <v>69.951599999999999</v>
      </c>
      <c r="G700">
        <f t="shared" si="40"/>
        <v>18.41477682182807</v>
      </c>
      <c r="H700">
        <f t="shared" si="41"/>
        <v>33.753255075041118</v>
      </c>
      <c r="I700">
        <f t="shared" si="42"/>
        <v>15.836636342107175</v>
      </c>
    </row>
    <row r="701" spans="1:9" x14ac:dyDescent="0.25">
      <c r="A701" t="s">
        <v>309</v>
      </c>
      <c r="B701" t="str">
        <f t="shared" si="43"/>
        <v>Twin1600.7140</v>
      </c>
      <c r="C701">
        <v>0.71</v>
      </c>
      <c r="D701">
        <v>40</v>
      </c>
      <c r="E701">
        <v>0.50149135315978854</v>
      </c>
      <c r="F701">
        <v>34.747199999999999</v>
      </c>
      <c r="G701">
        <f t="shared" si="40"/>
        <v>8.7629127207612498</v>
      </c>
      <c r="H701">
        <f t="shared" si="41"/>
        <v>5.8042980689790333</v>
      </c>
      <c r="I701">
        <f t="shared" si="42"/>
        <v>5.7228842639462361</v>
      </c>
    </row>
    <row r="702" spans="1:9" x14ac:dyDescent="0.25">
      <c r="A702" t="s">
        <v>309</v>
      </c>
      <c r="B702" t="str">
        <f t="shared" si="43"/>
        <v>Twin1600.7150</v>
      </c>
      <c r="C702">
        <v>0.71</v>
      </c>
      <c r="D702">
        <v>50</v>
      </c>
      <c r="E702">
        <v>0.55600128285106987</v>
      </c>
      <c r="F702">
        <v>38.709600000000002</v>
      </c>
      <c r="G702">
        <f t="shared" si="40"/>
        <v>9.8103789067140283</v>
      </c>
      <c r="H702">
        <f t="shared" si="41"/>
        <v>6.4352000329984937</v>
      </c>
      <c r="I702">
        <f t="shared" si="42"/>
        <v>5.6674802078292164</v>
      </c>
    </row>
    <row r="703" spans="1:9" x14ac:dyDescent="0.25">
      <c r="A703" t="s">
        <v>309</v>
      </c>
      <c r="B703" t="str">
        <f t="shared" si="43"/>
        <v>Twin1600.7160</v>
      </c>
      <c r="C703">
        <v>0.71</v>
      </c>
      <c r="D703">
        <v>60</v>
      </c>
      <c r="E703">
        <v>0.6105112125423513</v>
      </c>
      <c r="F703">
        <v>41.452800000000003</v>
      </c>
      <c r="G703">
        <f t="shared" si="40"/>
        <v>10.541326702138953</v>
      </c>
      <c r="H703">
        <f t="shared" si="41"/>
        <v>7.0661019970179542</v>
      </c>
      <c r="I703">
        <f t="shared" si="42"/>
        <v>5.7915974885634816</v>
      </c>
    </row>
    <row r="704" spans="1:9" x14ac:dyDescent="0.25">
      <c r="A704" t="s">
        <v>309</v>
      </c>
      <c r="B704" t="str">
        <f t="shared" si="43"/>
        <v>Twin1600.7170</v>
      </c>
      <c r="C704">
        <v>0.71</v>
      </c>
      <c r="D704">
        <v>70</v>
      </c>
      <c r="E704">
        <v>0.65957014926450452</v>
      </c>
      <c r="F704">
        <v>43.281600000000005</v>
      </c>
      <c r="G704">
        <f t="shared" si="40"/>
        <v>11.031252003993885</v>
      </c>
      <c r="H704">
        <f t="shared" si="41"/>
        <v>7.6339137646354684</v>
      </c>
      <c r="I704">
        <f t="shared" si="42"/>
        <v>5.9791050827748835</v>
      </c>
    </row>
    <row r="705" spans="1:9" x14ac:dyDescent="0.25">
      <c r="A705" t="s">
        <v>309</v>
      </c>
      <c r="B705" t="str">
        <f t="shared" si="43"/>
        <v>Twin1600.7180</v>
      </c>
      <c r="C705">
        <v>0.71</v>
      </c>
      <c r="D705">
        <v>80</v>
      </c>
      <c r="E705">
        <v>0.70862908598665764</v>
      </c>
      <c r="F705">
        <v>44.653200000000005</v>
      </c>
      <c r="G705">
        <f t="shared" si="40"/>
        <v>11.400075035460176</v>
      </c>
      <c r="H705">
        <f t="shared" si="41"/>
        <v>8.201725532252981</v>
      </c>
      <c r="I705">
        <f t="shared" si="42"/>
        <v>6.2160036998217274</v>
      </c>
    </row>
    <row r="706" spans="1:9" x14ac:dyDescent="0.25">
      <c r="A706" t="s">
        <v>309</v>
      </c>
      <c r="B706" t="str">
        <f t="shared" si="43"/>
        <v>Twin1600.7190</v>
      </c>
      <c r="C706">
        <v>0.71</v>
      </c>
      <c r="D706">
        <v>90</v>
      </c>
      <c r="E706">
        <v>0.74678603677055466</v>
      </c>
      <c r="F706">
        <v>46.177199999999999</v>
      </c>
      <c r="G706">
        <f t="shared" si="40"/>
        <v>11.811264755418868</v>
      </c>
      <c r="H706">
        <f t="shared" si="41"/>
        <v>8.6433569070666039</v>
      </c>
      <c r="I706">
        <f t="shared" si="42"/>
        <v>6.3226593615043472</v>
      </c>
    </row>
    <row r="707" spans="1:9" x14ac:dyDescent="0.25">
      <c r="A707" t="s">
        <v>309</v>
      </c>
      <c r="B707" t="str">
        <f t="shared" si="43"/>
        <v>Twin1600.71100</v>
      </c>
      <c r="C707">
        <v>0.71</v>
      </c>
      <c r="D707">
        <v>100</v>
      </c>
      <c r="E707">
        <v>0.79039398052357979</v>
      </c>
      <c r="F707">
        <v>47.3964</v>
      </c>
      <c r="G707">
        <f t="shared" ref="G707:G770" si="44">(PI()*(G$1+F707)^2)/10000-((PI()*(G$1)^2)/10000)</f>
        <v>12.141267240014493</v>
      </c>
      <c r="H707">
        <f t="shared" ref="H707:H770" si="45">E707/0.0864</f>
        <v>9.1480784782821729</v>
      </c>
      <c r="I707">
        <f t="shared" ref="I707:I770" si="46">E707/G707*100</f>
        <v>6.5099792706863795</v>
      </c>
    </row>
    <row r="708" spans="1:9" x14ac:dyDescent="0.25">
      <c r="A708" t="s">
        <v>309</v>
      </c>
      <c r="B708" t="str">
        <f t="shared" si="43"/>
        <v>Twin1600.71110</v>
      </c>
      <c r="C708">
        <v>0.71</v>
      </c>
      <c r="D708">
        <v>110</v>
      </c>
      <c r="E708">
        <v>0.8285509313074767</v>
      </c>
      <c r="F708">
        <v>48.615600000000001</v>
      </c>
      <c r="G708">
        <f t="shared" si="44"/>
        <v>12.472203687835574</v>
      </c>
      <c r="H708">
        <f t="shared" si="45"/>
        <v>9.589709853095794</v>
      </c>
      <c r="I708">
        <f t="shared" si="46"/>
        <v>6.6431799226914601</v>
      </c>
    </row>
    <row r="709" spans="1:9" x14ac:dyDescent="0.25">
      <c r="A709" t="s">
        <v>309</v>
      </c>
      <c r="B709" t="str">
        <f t="shared" si="43"/>
        <v>Twin1600.71120</v>
      </c>
      <c r="C709">
        <v>0.71</v>
      </c>
      <c r="D709">
        <v>120</v>
      </c>
      <c r="E709">
        <v>0.86670788209137373</v>
      </c>
      <c r="F709">
        <v>49.682400000000001</v>
      </c>
      <c r="G709">
        <f t="shared" si="44"/>
        <v>12.762539221387449</v>
      </c>
      <c r="H709">
        <f t="shared" si="45"/>
        <v>10.031341227909417</v>
      </c>
      <c r="I709">
        <f t="shared" si="46"/>
        <v>6.7910301160050164</v>
      </c>
    </row>
    <row r="710" spans="1:9" x14ac:dyDescent="0.25">
      <c r="A710" t="s">
        <v>309</v>
      </c>
      <c r="B710" t="str">
        <f t="shared" si="43"/>
        <v>Twin1600.71130</v>
      </c>
      <c r="C710">
        <v>0.71</v>
      </c>
      <c r="D710">
        <v>130</v>
      </c>
      <c r="E710">
        <v>0.89941383990614254</v>
      </c>
      <c r="F710">
        <v>50.901600000000002</v>
      </c>
      <c r="G710">
        <f t="shared" si="44"/>
        <v>13.095226850256296</v>
      </c>
      <c r="H710">
        <f t="shared" si="45"/>
        <v>10.409882406321094</v>
      </c>
      <c r="I710">
        <f t="shared" si="46"/>
        <v>6.8682570389266644</v>
      </c>
    </row>
    <row r="711" spans="1:9" x14ac:dyDescent="0.25">
      <c r="A711" t="s">
        <v>309</v>
      </c>
      <c r="B711" t="str">
        <f t="shared" si="43"/>
        <v>Twin1600.7940</v>
      </c>
      <c r="C711">
        <v>0.79</v>
      </c>
      <c r="D711">
        <v>40</v>
      </c>
      <c r="E711">
        <v>0.6159622055114794</v>
      </c>
      <c r="F711">
        <v>35.9664</v>
      </c>
      <c r="G711">
        <f t="shared" si="44"/>
        <v>9.0841593001180527</v>
      </c>
      <c r="H711">
        <f t="shared" si="45"/>
        <v>7.1291921934199003</v>
      </c>
      <c r="I711">
        <f t="shared" si="46"/>
        <v>6.7806187139791207</v>
      </c>
    </row>
    <row r="712" spans="1:9" x14ac:dyDescent="0.25">
      <c r="A712" t="s">
        <v>309</v>
      </c>
      <c r="B712" t="str">
        <f t="shared" si="43"/>
        <v>Twin1600.7950</v>
      </c>
      <c r="C712">
        <v>0.79</v>
      </c>
      <c r="D712">
        <v>50</v>
      </c>
      <c r="E712">
        <v>0.69227610707927323</v>
      </c>
      <c r="F712">
        <v>40.538400000000003</v>
      </c>
      <c r="G712">
        <f t="shared" si="44"/>
        <v>10.297152082682977</v>
      </c>
      <c r="H712">
        <f t="shared" si="45"/>
        <v>8.0124549430471426</v>
      </c>
      <c r="I712">
        <f t="shared" si="46"/>
        <v>6.722986137531116</v>
      </c>
    </row>
    <row r="713" spans="1:9" x14ac:dyDescent="0.25">
      <c r="A713" t="s">
        <v>309</v>
      </c>
      <c r="B713" t="str">
        <f t="shared" si="43"/>
        <v>Twin1600.7960</v>
      </c>
      <c r="C713">
        <v>0.79</v>
      </c>
      <c r="D713">
        <v>60</v>
      </c>
      <c r="E713">
        <v>0.75768802270881097</v>
      </c>
      <c r="F713">
        <v>43.738800000000005</v>
      </c>
      <c r="G713">
        <f t="shared" si="44"/>
        <v>11.15406167590406</v>
      </c>
      <c r="H713">
        <f t="shared" si="45"/>
        <v>8.7695372998704961</v>
      </c>
      <c r="I713">
        <f t="shared" si="46"/>
        <v>6.7929337735834139</v>
      </c>
    </row>
    <row r="714" spans="1:9" x14ac:dyDescent="0.25">
      <c r="A714" t="s">
        <v>309</v>
      </c>
      <c r="B714" t="str">
        <f t="shared" si="43"/>
        <v>Twin1600.7970</v>
      </c>
      <c r="C714">
        <v>0.79</v>
      </c>
      <c r="D714">
        <v>70</v>
      </c>
      <c r="E714">
        <v>0.8176489453692205</v>
      </c>
      <c r="F714">
        <v>45.872399999999999</v>
      </c>
      <c r="G714">
        <f t="shared" si="44"/>
        <v>11.728910066023943</v>
      </c>
      <c r="H714">
        <f t="shared" si="45"/>
        <v>9.4635294602919036</v>
      </c>
      <c r="I714">
        <f t="shared" si="46"/>
        <v>6.9712270003482129</v>
      </c>
    </row>
    <row r="715" spans="1:9" x14ac:dyDescent="0.25">
      <c r="A715" t="s">
        <v>309</v>
      </c>
      <c r="B715" t="str">
        <f t="shared" si="43"/>
        <v>Twin1600.7980</v>
      </c>
      <c r="C715">
        <v>0.79</v>
      </c>
      <c r="D715">
        <v>80</v>
      </c>
      <c r="E715">
        <v>0.87215887506050183</v>
      </c>
      <c r="F715">
        <v>47.3964</v>
      </c>
      <c r="G715">
        <f t="shared" si="44"/>
        <v>12.141267240014493</v>
      </c>
      <c r="H715">
        <f t="shared" si="45"/>
        <v>10.094431424311363</v>
      </c>
      <c r="I715">
        <f t="shared" si="46"/>
        <v>7.1834254021366952</v>
      </c>
    </row>
    <row r="716" spans="1:9" x14ac:dyDescent="0.25">
      <c r="A716" t="s">
        <v>309</v>
      </c>
      <c r="B716" t="str">
        <f t="shared" si="43"/>
        <v>Twin1600.7990</v>
      </c>
      <c r="C716">
        <v>0.79</v>
      </c>
      <c r="D716">
        <v>90</v>
      </c>
      <c r="E716">
        <v>0.92666880475178326</v>
      </c>
      <c r="F716">
        <v>48.920400000000001</v>
      </c>
      <c r="G716">
        <f t="shared" si="44"/>
        <v>12.55508373154484</v>
      </c>
      <c r="H716">
        <f t="shared" si="45"/>
        <v>10.725333388330824</v>
      </c>
      <c r="I716">
        <f t="shared" si="46"/>
        <v>7.3808253657720631</v>
      </c>
    </row>
    <row r="717" spans="1:9" x14ac:dyDescent="0.25">
      <c r="A717" t="s">
        <v>309</v>
      </c>
      <c r="B717" t="str">
        <f t="shared" si="43"/>
        <v>Twin1600.79100</v>
      </c>
      <c r="C717">
        <v>0.79</v>
      </c>
      <c r="D717">
        <v>100</v>
      </c>
      <c r="E717">
        <v>0.97572774147393637</v>
      </c>
      <c r="F717">
        <v>50.292000000000002</v>
      </c>
      <c r="G717">
        <f t="shared" si="44"/>
        <v>12.928766290418693</v>
      </c>
      <c r="H717">
        <f t="shared" si="45"/>
        <v>11.293145155948338</v>
      </c>
      <c r="I717">
        <f t="shared" si="46"/>
        <v>7.5469516545985753</v>
      </c>
    </row>
    <row r="718" spans="1:9" x14ac:dyDescent="0.25">
      <c r="A718" t="s">
        <v>309</v>
      </c>
      <c r="B718" t="str">
        <f t="shared" si="43"/>
        <v>Twin1600.79110</v>
      </c>
      <c r="C718">
        <v>0.79</v>
      </c>
      <c r="D718">
        <v>110</v>
      </c>
      <c r="E718">
        <v>1.0247866781960897</v>
      </c>
      <c r="F718">
        <v>51.511200000000002</v>
      </c>
      <c r="G718">
        <f t="shared" si="44"/>
        <v>13.261920900900286</v>
      </c>
      <c r="H718">
        <f t="shared" si="45"/>
        <v>11.860956923565853</v>
      </c>
      <c r="I718">
        <f t="shared" si="46"/>
        <v>7.7272869130634163</v>
      </c>
    </row>
    <row r="719" spans="1:9" x14ac:dyDescent="0.25">
      <c r="A719" t="s">
        <v>309</v>
      </c>
      <c r="B719" t="str">
        <f t="shared" si="43"/>
        <v>Twin1600.79120</v>
      </c>
      <c r="C719">
        <v>0.79</v>
      </c>
      <c r="D719">
        <v>120</v>
      </c>
      <c r="E719">
        <v>1.0683946219491147</v>
      </c>
      <c r="F719">
        <v>52.730400000000003</v>
      </c>
      <c r="G719">
        <f t="shared" si="44"/>
        <v>13.596009474607342</v>
      </c>
      <c r="H719">
        <f t="shared" si="45"/>
        <v>12.36567849478142</v>
      </c>
      <c r="I719">
        <f t="shared" si="46"/>
        <v>7.8581485541364726</v>
      </c>
    </row>
    <row r="720" spans="1:9" x14ac:dyDescent="0.25">
      <c r="A720" t="s">
        <v>309</v>
      </c>
      <c r="B720" t="str">
        <f t="shared" si="43"/>
        <v>Twin1600.79130</v>
      </c>
      <c r="C720">
        <v>0.79</v>
      </c>
      <c r="D720">
        <v>130</v>
      </c>
      <c r="E720">
        <v>1.1120025657021397</v>
      </c>
      <c r="F720">
        <v>53.949600000000004</v>
      </c>
      <c r="G720">
        <f t="shared" si="44"/>
        <v>13.93103201153987</v>
      </c>
      <c r="H720">
        <f t="shared" si="45"/>
        <v>12.870400065996987</v>
      </c>
      <c r="I720">
        <f t="shared" si="46"/>
        <v>7.9821980509484467</v>
      </c>
    </row>
    <row r="721" spans="1:9" x14ac:dyDescent="0.25">
      <c r="A721" t="s">
        <v>309</v>
      </c>
      <c r="B721" t="str">
        <f t="shared" si="43"/>
        <v>Twin1600.8740</v>
      </c>
      <c r="C721">
        <v>0.87</v>
      </c>
      <c r="D721">
        <v>40</v>
      </c>
      <c r="E721">
        <v>0.74678603677055466</v>
      </c>
      <c r="F721">
        <v>37.033200000000001</v>
      </c>
      <c r="G721">
        <f t="shared" si="44"/>
        <v>9.366016198763667</v>
      </c>
      <c r="H721">
        <f t="shared" si="45"/>
        <v>8.6433569070666039</v>
      </c>
      <c r="I721">
        <f t="shared" si="46"/>
        <v>7.9733583726785771</v>
      </c>
    </row>
    <row r="722" spans="1:9" x14ac:dyDescent="0.25">
      <c r="A722" t="s">
        <v>309</v>
      </c>
      <c r="B722" t="str">
        <f t="shared" si="43"/>
        <v>Twin1600.8750</v>
      </c>
      <c r="C722">
        <v>0.87</v>
      </c>
      <c r="D722">
        <v>50</v>
      </c>
      <c r="E722">
        <v>0.83400192427660491</v>
      </c>
      <c r="F722">
        <v>42.214800000000004</v>
      </c>
      <c r="G722">
        <f t="shared" si="44"/>
        <v>10.745206864009035</v>
      </c>
      <c r="H722">
        <f t="shared" si="45"/>
        <v>9.652800049497742</v>
      </c>
      <c r="I722">
        <f t="shared" si="46"/>
        <v>7.7616181319885635</v>
      </c>
    </row>
    <row r="723" spans="1:9" x14ac:dyDescent="0.25">
      <c r="A723" t="s">
        <v>309</v>
      </c>
      <c r="B723" t="str">
        <f t="shared" si="43"/>
        <v>Twin1600.8760</v>
      </c>
      <c r="C723">
        <v>0.87</v>
      </c>
      <c r="D723">
        <v>60</v>
      </c>
      <c r="E723">
        <v>0.91031582584439885</v>
      </c>
      <c r="F723">
        <v>45.872399999999999</v>
      </c>
      <c r="G723">
        <f t="shared" si="44"/>
        <v>11.728910066023943</v>
      </c>
      <c r="H723">
        <f t="shared" si="45"/>
        <v>10.536062799124986</v>
      </c>
      <c r="I723">
        <f t="shared" si="46"/>
        <v>7.7612993937210106</v>
      </c>
    </row>
    <row r="724" spans="1:9" x14ac:dyDescent="0.25">
      <c r="A724" t="s">
        <v>309</v>
      </c>
      <c r="B724" t="str">
        <f t="shared" si="43"/>
        <v>Twin1600.8770</v>
      </c>
      <c r="C724">
        <v>0.87</v>
      </c>
      <c r="D724">
        <v>70</v>
      </c>
      <c r="E724">
        <v>0.98662972741219268</v>
      </c>
      <c r="F724">
        <v>48.006</v>
      </c>
      <c r="G724">
        <f t="shared" si="44"/>
        <v>12.306618718521854</v>
      </c>
      <c r="H724">
        <f t="shared" si="45"/>
        <v>11.41932554875223</v>
      </c>
      <c r="I724">
        <f t="shared" si="46"/>
        <v>8.0170658568245337</v>
      </c>
    </row>
    <row r="725" spans="1:9" x14ac:dyDescent="0.25">
      <c r="A725" t="s">
        <v>309</v>
      </c>
      <c r="B725" t="str">
        <f t="shared" si="43"/>
        <v>Twin1600.8780</v>
      </c>
      <c r="C725">
        <v>0.87</v>
      </c>
      <c r="D725">
        <v>80</v>
      </c>
      <c r="E725">
        <v>1.0520416430417303</v>
      </c>
      <c r="F725">
        <v>49.682400000000001</v>
      </c>
      <c r="G725">
        <f t="shared" si="44"/>
        <v>12.762539221387449</v>
      </c>
      <c r="H725">
        <f t="shared" si="45"/>
        <v>12.176407905575582</v>
      </c>
      <c r="I725">
        <f t="shared" si="46"/>
        <v>8.2432000779180381</v>
      </c>
    </row>
    <row r="726" spans="1:9" x14ac:dyDescent="0.25">
      <c r="A726" t="s">
        <v>309</v>
      </c>
      <c r="B726" t="str">
        <f t="shared" si="43"/>
        <v>Twin1600.8790</v>
      </c>
      <c r="C726">
        <v>0.87</v>
      </c>
      <c r="D726">
        <v>90</v>
      </c>
      <c r="E726">
        <v>1.1174535586712679</v>
      </c>
      <c r="F726">
        <v>51.358800000000002</v>
      </c>
      <c r="G726">
        <f t="shared" si="44"/>
        <v>13.220225498476168</v>
      </c>
      <c r="H726">
        <f t="shared" si="45"/>
        <v>12.933490262398934</v>
      </c>
      <c r="I726">
        <f t="shared" si="46"/>
        <v>8.4526058863373521</v>
      </c>
    </row>
    <row r="727" spans="1:9" x14ac:dyDescent="0.25">
      <c r="A727" t="s">
        <v>309</v>
      </c>
      <c r="B727" t="str">
        <f t="shared" si="43"/>
        <v>Twin1600.87100</v>
      </c>
      <c r="C727">
        <v>0.87</v>
      </c>
      <c r="D727">
        <v>100</v>
      </c>
      <c r="E727">
        <v>1.1774144813316776</v>
      </c>
      <c r="F727">
        <v>52.882800000000003</v>
      </c>
      <c r="G727">
        <f t="shared" si="44"/>
        <v>13.637836215609994</v>
      </c>
      <c r="H727">
        <f t="shared" si="45"/>
        <v>13.627482422820341</v>
      </c>
      <c r="I727">
        <f t="shared" si="46"/>
        <v>8.6334405452383862</v>
      </c>
    </row>
    <row r="728" spans="1:9" x14ac:dyDescent="0.25">
      <c r="A728" t="s">
        <v>309</v>
      </c>
      <c r="B728" t="str">
        <f t="shared" si="43"/>
        <v>Twin1600.87110</v>
      </c>
      <c r="C728">
        <v>0.87</v>
      </c>
      <c r="D728">
        <v>110</v>
      </c>
      <c r="E728">
        <v>1.2319244110229588</v>
      </c>
      <c r="F728">
        <v>54.254400000000004</v>
      </c>
      <c r="G728">
        <f t="shared" si="44"/>
        <v>14.014933577526996</v>
      </c>
      <c r="H728">
        <f t="shared" si="45"/>
        <v>14.258384386839801</v>
      </c>
      <c r="I728">
        <f t="shared" si="46"/>
        <v>8.7900838359901652</v>
      </c>
    </row>
    <row r="729" spans="1:9" x14ac:dyDescent="0.25">
      <c r="A729" t="s">
        <v>309</v>
      </c>
      <c r="B729" t="str">
        <f t="shared" si="43"/>
        <v>Twin1600.87120</v>
      </c>
      <c r="C729">
        <v>0.87</v>
      </c>
      <c r="D729">
        <v>120</v>
      </c>
      <c r="E729">
        <v>1.2918853336833684</v>
      </c>
      <c r="F729">
        <v>55.626000000000005</v>
      </c>
      <c r="G729">
        <f t="shared" si="44"/>
        <v>14.393212986651186</v>
      </c>
      <c r="H729">
        <f t="shared" si="45"/>
        <v>14.952376547261208</v>
      </c>
      <c r="I729">
        <f t="shared" si="46"/>
        <v>8.975656338035936</v>
      </c>
    </row>
    <row r="730" spans="1:9" x14ac:dyDescent="0.25">
      <c r="A730" t="s">
        <v>309</v>
      </c>
      <c r="B730" t="str">
        <f t="shared" si="43"/>
        <v>Twin1600.87130</v>
      </c>
      <c r="C730">
        <v>0.87</v>
      </c>
      <c r="D730">
        <v>130</v>
      </c>
      <c r="E730">
        <v>1.3409442704055214</v>
      </c>
      <c r="F730">
        <v>56.845200000000006</v>
      </c>
      <c r="G730">
        <f t="shared" si="44"/>
        <v>14.730453686244225</v>
      </c>
      <c r="H730">
        <f t="shared" si="45"/>
        <v>15.52018831487872</v>
      </c>
      <c r="I730">
        <f t="shared" si="46"/>
        <v>9.1032109327205504</v>
      </c>
    </row>
    <row r="731" spans="1:9" x14ac:dyDescent="0.25">
      <c r="A731" t="s">
        <v>309</v>
      </c>
      <c r="B731" t="str">
        <f t="shared" si="43"/>
        <v>Twin1600.9440</v>
      </c>
      <c r="C731">
        <v>0.94</v>
      </c>
      <c r="D731">
        <v>40</v>
      </c>
      <c r="E731">
        <v>0.88851185396788623</v>
      </c>
      <c r="F731">
        <v>38.252400000000002</v>
      </c>
      <c r="G731">
        <f t="shared" si="44"/>
        <v>9.6890139591682427</v>
      </c>
      <c r="H731">
        <f t="shared" si="45"/>
        <v>10.283702013517201</v>
      </c>
      <c r="I731">
        <f t="shared" si="46"/>
        <v>9.1703021351014833</v>
      </c>
    </row>
    <row r="732" spans="1:9" x14ac:dyDescent="0.25">
      <c r="A732" t="s">
        <v>309</v>
      </c>
      <c r="B732" t="str">
        <f t="shared" si="43"/>
        <v>Twin1600.9450</v>
      </c>
      <c r="C732">
        <v>0.94</v>
      </c>
      <c r="D732">
        <v>50</v>
      </c>
      <c r="E732">
        <v>0.99208072038132078</v>
      </c>
      <c r="F732">
        <v>44.043600000000005</v>
      </c>
      <c r="G732">
        <f t="shared" si="44"/>
        <v>11.236007756387835</v>
      </c>
      <c r="H732">
        <f t="shared" si="45"/>
        <v>11.482415745154174</v>
      </c>
      <c r="I732">
        <f t="shared" si="46"/>
        <v>8.8294769983342913</v>
      </c>
    </row>
    <row r="733" spans="1:9" x14ac:dyDescent="0.25">
      <c r="A733" t="s">
        <v>309</v>
      </c>
      <c r="B733" t="str">
        <f t="shared" si="43"/>
        <v>Twin1600.9460</v>
      </c>
      <c r="C733">
        <v>0.94</v>
      </c>
      <c r="D733">
        <v>60</v>
      </c>
      <c r="E733">
        <v>1.0847476008564991</v>
      </c>
      <c r="F733">
        <v>47.8536</v>
      </c>
      <c r="G733">
        <f t="shared" si="44"/>
        <v>12.265258959131927</v>
      </c>
      <c r="H733">
        <f t="shared" si="45"/>
        <v>12.554949083987259</v>
      </c>
      <c r="I733">
        <f t="shared" si="46"/>
        <v>8.8440660280463579</v>
      </c>
    </row>
    <row r="734" spans="1:9" x14ac:dyDescent="0.25">
      <c r="A734" t="s">
        <v>309</v>
      </c>
      <c r="B734" t="str">
        <f t="shared" si="43"/>
        <v>Twin1600.9470</v>
      </c>
      <c r="C734">
        <v>0.94</v>
      </c>
      <c r="D734">
        <v>70</v>
      </c>
      <c r="E734">
        <v>1.1719634883625494</v>
      </c>
      <c r="F734">
        <v>50.292000000000002</v>
      </c>
      <c r="G734">
        <f t="shared" si="44"/>
        <v>12.928766290418693</v>
      </c>
      <c r="H734">
        <f t="shared" si="45"/>
        <v>13.564392226418395</v>
      </c>
      <c r="I734">
        <f t="shared" si="46"/>
        <v>9.0647743337357198</v>
      </c>
    </row>
    <row r="735" spans="1:9" x14ac:dyDescent="0.25">
      <c r="A735" t="s">
        <v>309</v>
      </c>
      <c r="B735" t="str">
        <f t="shared" si="43"/>
        <v>Twin1600.9480</v>
      </c>
      <c r="C735">
        <v>0.94</v>
      </c>
      <c r="D735">
        <v>80</v>
      </c>
      <c r="E735">
        <v>1.2537283828994714</v>
      </c>
      <c r="F735">
        <v>51.968400000000003</v>
      </c>
      <c r="G735">
        <f t="shared" si="44"/>
        <v>13.387094667224929</v>
      </c>
      <c r="H735">
        <f t="shared" si="45"/>
        <v>14.510745172447585</v>
      </c>
      <c r="I735">
        <f t="shared" si="46"/>
        <v>9.3652014426171402</v>
      </c>
    </row>
    <row r="736" spans="1:9" x14ac:dyDescent="0.25">
      <c r="A736" t="s">
        <v>309</v>
      </c>
      <c r="B736" t="str">
        <f t="shared" si="43"/>
        <v>Twin1600.9490</v>
      </c>
      <c r="C736">
        <v>0.94</v>
      </c>
      <c r="D736">
        <v>90</v>
      </c>
      <c r="E736">
        <v>1.3300422844672655</v>
      </c>
      <c r="F736">
        <v>53.797200000000004</v>
      </c>
      <c r="G736">
        <f t="shared" si="44"/>
        <v>13.889103118309407</v>
      </c>
      <c r="H736">
        <f t="shared" si="45"/>
        <v>15.394007922074831</v>
      </c>
      <c r="I736">
        <f t="shared" si="46"/>
        <v>9.5761567405596395</v>
      </c>
    </row>
    <row r="737" spans="1:9" x14ac:dyDescent="0.25">
      <c r="A737" t="s">
        <v>309</v>
      </c>
      <c r="B737" t="str">
        <f t="shared" si="43"/>
        <v>Twin1600.94100</v>
      </c>
      <c r="C737">
        <v>0.94</v>
      </c>
      <c r="D737">
        <v>100</v>
      </c>
      <c r="E737">
        <v>1.4009051930659309</v>
      </c>
      <c r="F737">
        <v>55.473600000000005</v>
      </c>
      <c r="G737">
        <f t="shared" si="44"/>
        <v>14.351123568491367</v>
      </c>
      <c r="H737">
        <f t="shared" si="45"/>
        <v>16.214180475300125</v>
      </c>
      <c r="I737">
        <f t="shared" si="46"/>
        <v>9.7616412149198588</v>
      </c>
    </row>
    <row r="738" spans="1:9" x14ac:dyDescent="0.25">
      <c r="A738" t="s">
        <v>309</v>
      </c>
      <c r="B738" t="str">
        <f t="shared" si="43"/>
        <v>Twin1600.94110</v>
      </c>
      <c r="C738">
        <v>0.94</v>
      </c>
      <c r="D738">
        <v>110</v>
      </c>
      <c r="E738">
        <v>1.4717681016645967</v>
      </c>
      <c r="F738">
        <v>56.997600000000006</v>
      </c>
      <c r="G738">
        <f t="shared" si="44"/>
        <v>14.772674442982655</v>
      </c>
      <c r="H738">
        <f t="shared" si="45"/>
        <v>17.034353028525423</v>
      </c>
      <c r="I738">
        <f t="shared" si="46"/>
        <v>9.9627735475056038</v>
      </c>
    </row>
    <row r="739" spans="1:9" x14ac:dyDescent="0.25">
      <c r="A739" t="s">
        <v>309</v>
      </c>
      <c r="B739" t="str">
        <f t="shared" si="43"/>
        <v>Twin1600.94120</v>
      </c>
      <c r="C739">
        <v>0.94</v>
      </c>
      <c r="D739">
        <v>120</v>
      </c>
      <c r="E739">
        <v>1.5317290243250063</v>
      </c>
      <c r="F739">
        <v>58.521600000000007</v>
      </c>
      <c r="G739">
        <f t="shared" si="44"/>
        <v>15.195684635013748</v>
      </c>
      <c r="H739">
        <f t="shared" si="45"/>
        <v>17.728345188946832</v>
      </c>
      <c r="I739">
        <f t="shared" si="46"/>
        <v>10.080026409574277</v>
      </c>
    </row>
    <row r="740" spans="1:9" x14ac:dyDescent="0.25">
      <c r="A740" t="s">
        <v>309</v>
      </c>
      <c r="B740" t="str">
        <f t="shared" si="43"/>
        <v>Twin1600.94130</v>
      </c>
      <c r="C740">
        <v>0.94</v>
      </c>
      <c r="D740">
        <v>130</v>
      </c>
      <c r="E740">
        <v>1.597140939954544</v>
      </c>
      <c r="F740">
        <v>59.7408</v>
      </c>
      <c r="G740">
        <f t="shared" si="44"/>
        <v>15.535143497267271</v>
      </c>
      <c r="H740">
        <f t="shared" si="45"/>
        <v>18.485427545770182</v>
      </c>
      <c r="I740">
        <f t="shared" si="46"/>
        <v>10.280825151280329</v>
      </c>
    </row>
    <row r="741" spans="1:9" x14ac:dyDescent="0.25">
      <c r="A741" t="s">
        <v>309</v>
      </c>
      <c r="B741" t="str">
        <f t="shared" si="43"/>
        <v>Twin1601.0240</v>
      </c>
      <c r="C741">
        <v>1.02</v>
      </c>
      <c r="D741">
        <v>40</v>
      </c>
      <c r="E741">
        <v>1.0465906500726021</v>
      </c>
      <c r="F741">
        <v>39.319200000000002</v>
      </c>
      <c r="G741">
        <f t="shared" si="44"/>
        <v>9.9724031412306431</v>
      </c>
      <c r="H741">
        <f t="shared" si="45"/>
        <v>12.113317709173634</v>
      </c>
      <c r="I741">
        <f t="shared" si="46"/>
        <v>10.494869042603183</v>
      </c>
    </row>
    <row r="742" spans="1:9" x14ac:dyDescent="0.25">
      <c r="A742" t="s">
        <v>309</v>
      </c>
      <c r="B742" t="str">
        <f t="shared" ref="B742:B805" si="47">A742&amp;C742&amp;D742</f>
        <v>Twin1601.0250</v>
      </c>
      <c r="C742">
        <v>1.02</v>
      </c>
      <c r="D742">
        <v>50</v>
      </c>
      <c r="E742">
        <v>1.1719634883625494</v>
      </c>
      <c r="F742">
        <v>45.872399999999999</v>
      </c>
      <c r="G742">
        <f t="shared" si="44"/>
        <v>11.728910066023943</v>
      </c>
      <c r="H742">
        <f t="shared" si="45"/>
        <v>13.564392226418395</v>
      </c>
      <c r="I742">
        <f t="shared" si="46"/>
        <v>9.9920920338324386</v>
      </c>
    </row>
    <row r="743" spans="1:9" x14ac:dyDescent="0.25">
      <c r="A743" t="s">
        <v>309</v>
      </c>
      <c r="B743" t="str">
        <f t="shared" si="47"/>
        <v>Twin1601.0260</v>
      </c>
      <c r="C743">
        <v>1.02</v>
      </c>
      <c r="D743">
        <v>60</v>
      </c>
      <c r="E743">
        <v>1.280983347745112</v>
      </c>
      <c r="F743">
        <v>51.206400000000002</v>
      </c>
      <c r="G743">
        <f t="shared" si="44"/>
        <v>13.1785446892275</v>
      </c>
      <c r="H743">
        <f t="shared" si="45"/>
        <v>14.826196154457314</v>
      </c>
      <c r="I743">
        <f t="shared" si="46"/>
        <v>9.7202185670184242</v>
      </c>
    </row>
    <row r="744" spans="1:9" x14ac:dyDescent="0.25">
      <c r="A744" t="s">
        <v>309</v>
      </c>
      <c r="B744" t="str">
        <f t="shared" si="47"/>
        <v>Twin1601.0270</v>
      </c>
      <c r="C744">
        <v>1.02</v>
      </c>
      <c r="D744">
        <v>70</v>
      </c>
      <c r="E744">
        <v>1.3845522141585465</v>
      </c>
      <c r="F744">
        <v>52.882800000000003</v>
      </c>
      <c r="G744">
        <f t="shared" si="44"/>
        <v>13.637836215609994</v>
      </c>
      <c r="H744">
        <f t="shared" si="45"/>
        <v>16.024909886094285</v>
      </c>
      <c r="I744">
        <f t="shared" si="46"/>
        <v>10.152286567085877</v>
      </c>
    </row>
    <row r="745" spans="1:9" x14ac:dyDescent="0.25">
      <c r="A745" t="s">
        <v>309</v>
      </c>
      <c r="B745" t="str">
        <f t="shared" si="47"/>
        <v>Twin1601.0280</v>
      </c>
      <c r="C745">
        <v>1.02</v>
      </c>
      <c r="D745">
        <v>80</v>
      </c>
      <c r="E745">
        <v>1.4826700876028531</v>
      </c>
      <c r="F745">
        <v>54.864000000000004</v>
      </c>
      <c r="G745">
        <f t="shared" si="44"/>
        <v>14.182911827605992</v>
      </c>
      <c r="H745">
        <f t="shared" si="45"/>
        <v>17.160533421329319</v>
      </c>
      <c r="I745">
        <f t="shared" si="46"/>
        <v>10.453918811769986</v>
      </c>
    </row>
    <row r="746" spans="1:9" x14ac:dyDescent="0.25">
      <c r="A746" t="s">
        <v>309</v>
      </c>
      <c r="B746" t="str">
        <f t="shared" si="47"/>
        <v>Twin1601.0290</v>
      </c>
      <c r="C746">
        <v>1.02</v>
      </c>
      <c r="D746">
        <v>90</v>
      </c>
      <c r="E746">
        <v>1.5698859751089032</v>
      </c>
      <c r="F746">
        <v>56.692800000000005</v>
      </c>
      <c r="G746">
        <f t="shared" si="44"/>
        <v>14.688247522681216</v>
      </c>
      <c r="H746">
        <f t="shared" si="45"/>
        <v>18.169976563760454</v>
      </c>
      <c r="I746">
        <f t="shared" si="46"/>
        <v>10.688041392853201</v>
      </c>
    </row>
    <row r="747" spans="1:9" x14ac:dyDescent="0.25">
      <c r="A747" t="s">
        <v>309</v>
      </c>
      <c r="B747" t="str">
        <f t="shared" si="47"/>
        <v>Twin1601.02100</v>
      </c>
      <c r="C747">
        <v>1.02</v>
      </c>
      <c r="D747">
        <v>100</v>
      </c>
      <c r="E747">
        <v>1.6571018626149534</v>
      </c>
      <c r="F747">
        <v>58.369200000000006</v>
      </c>
      <c r="G747">
        <f t="shared" si="44"/>
        <v>15.153317946521341</v>
      </c>
      <c r="H747">
        <f t="shared" si="45"/>
        <v>19.179419706191588</v>
      </c>
      <c r="I747">
        <f t="shared" si="46"/>
        <v>10.935571130119161</v>
      </c>
    </row>
    <row r="748" spans="1:9" x14ac:dyDescent="0.25">
      <c r="A748" t="s">
        <v>309</v>
      </c>
      <c r="B748" t="str">
        <f t="shared" si="47"/>
        <v>Twin1601.02110</v>
      </c>
      <c r="C748">
        <v>1.02</v>
      </c>
      <c r="D748">
        <v>110</v>
      </c>
      <c r="E748">
        <v>1.7388667571518754</v>
      </c>
      <c r="F748">
        <v>59.8932</v>
      </c>
      <c r="G748">
        <f t="shared" si="44"/>
        <v>15.577641524338254</v>
      </c>
      <c r="H748">
        <f t="shared" si="45"/>
        <v>20.125772652220778</v>
      </c>
      <c r="I748">
        <f t="shared" si="46"/>
        <v>11.16258038442532</v>
      </c>
    </row>
    <row r="749" spans="1:9" x14ac:dyDescent="0.25">
      <c r="A749" t="s">
        <v>309</v>
      </c>
      <c r="B749" t="str">
        <f t="shared" si="47"/>
        <v>Twin1601.02120</v>
      </c>
      <c r="C749">
        <v>1.02</v>
      </c>
      <c r="D749">
        <v>120</v>
      </c>
      <c r="E749">
        <v>1.8151806587196695</v>
      </c>
      <c r="F749">
        <v>61.264800000000001</v>
      </c>
      <c r="G749">
        <f t="shared" si="44"/>
        <v>15.960780460869998</v>
      </c>
      <c r="H749">
        <f t="shared" si="45"/>
        <v>21.009035401848024</v>
      </c>
      <c r="I749">
        <f t="shared" si="46"/>
        <v>11.372756258190691</v>
      </c>
    </row>
    <row r="750" spans="1:9" x14ac:dyDescent="0.25">
      <c r="A750" t="s">
        <v>309</v>
      </c>
      <c r="B750" t="str">
        <f t="shared" si="47"/>
        <v>Twin1601.02130</v>
      </c>
      <c r="C750">
        <v>1.02</v>
      </c>
      <c r="D750">
        <v>130</v>
      </c>
      <c r="E750">
        <v>1.8914945602874631</v>
      </c>
      <c r="F750">
        <v>62.484000000000002</v>
      </c>
      <c r="G750">
        <f t="shared" si="44"/>
        <v>16.302340740380842</v>
      </c>
      <c r="H750">
        <f t="shared" si="45"/>
        <v>21.892298151475266</v>
      </c>
      <c r="I750">
        <f t="shared" si="46"/>
        <v>11.602594930446015</v>
      </c>
    </row>
    <row r="751" spans="1:9" x14ac:dyDescent="0.25">
      <c r="A751" t="s">
        <v>309</v>
      </c>
      <c r="B751" t="str">
        <f t="shared" si="47"/>
        <v>Twin1601.140</v>
      </c>
      <c r="C751">
        <v>1.1000000000000001</v>
      </c>
      <c r="D751">
        <v>40</v>
      </c>
      <c r="E751">
        <v>1.2101204391464464</v>
      </c>
      <c r="F751">
        <v>40.386000000000003</v>
      </c>
      <c r="G751">
        <f t="shared" si="44"/>
        <v>10.256507388887542</v>
      </c>
      <c r="H751">
        <f t="shared" si="45"/>
        <v>14.006023601232018</v>
      </c>
      <c r="I751">
        <f t="shared" si="46"/>
        <v>11.798562544376038</v>
      </c>
    </row>
    <row r="752" spans="1:9" x14ac:dyDescent="0.25">
      <c r="A752" t="s">
        <v>309</v>
      </c>
      <c r="B752" t="str">
        <f t="shared" si="47"/>
        <v>Twin1601.150</v>
      </c>
      <c r="C752">
        <v>1.1000000000000001</v>
      </c>
      <c r="D752">
        <v>50</v>
      </c>
      <c r="E752">
        <v>1.3518462563437776</v>
      </c>
      <c r="F752">
        <v>47.7012</v>
      </c>
      <c r="G752">
        <f t="shared" si="44"/>
        <v>12.223913792917372</v>
      </c>
      <c r="H752">
        <f t="shared" si="45"/>
        <v>15.64636870768261</v>
      </c>
      <c r="I752">
        <f t="shared" si="46"/>
        <v>11.059029695767714</v>
      </c>
    </row>
    <row r="753" spans="1:9" x14ac:dyDescent="0.25">
      <c r="A753" t="s">
        <v>309</v>
      </c>
      <c r="B753" t="str">
        <f t="shared" si="47"/>
        <v>Twin1601.160</v>
      </c>
      <c r="C753">
        <v>1.1000000000000001</v>
      </c>
      <c r="D753">
        <v>60</v>
      </c>
      <c r="E753">
        <v>1.4826700876028531</v>
      </c>
      <c r="F753">
        <v>52.425600000000003</v>
      </c>
      <c r="G753">
        <f t="shared" si="44"/>
        <v>13.512399772128191</v>
      </c>
      <c r="H753">
        <f t="shared" si="45"/>
        <v>17.160533421329319</v>
      </c>
      <c r="I753">
        <f t="shared" si="46"/>
        <v>10.972662980717406</v>
      </c>
    </row>
    <row r="754" spans="1:9" x14ac:dyDescent="0.25">
      <c r="A754" t="s">
        <v>309</v>
      </c>
      <c r="B754" t="str">
        <f t="shared" si="47"/>
        <v>Twin1601.170</v>
      </c>
      <c r="C754">
        <v>1.1000000000000001</v>
      </c>
      <c r="D754">
        <v>70</v>
      </c>
      <c r="E754">
        <v>1.602591932923672</v>
      </c>
      <c r="F754">
        <v>55.321200000000005</v>
      </c>
      <c r="G754">
        <f t="shared" si="44"/>
        <v>14.309048743506914</v>
      </c>
      <c r="H754">
        <f t="shared" si="45"/>
        <v>18.548517742172127</v>
      </c>
      <c r="I754">
        <f t="shared" si="46"/>
        <v>11.199849561284694</v>
      </c>
    </row>
    <row r="755" spans="1:9" x14ac:dyDescent="0.25">
      <c r="A755" t="s">
        <v>309</v>
      </c>
      <c r="B755" t="str">
        <f t="shared" si="47"/>
        <v>Twin1601.180</v>
      </c>
      <c r="C755">
        <v>1.1000000000000001</v>
      </c>
      <c r="D755">
        <v>80</v>
      </c>
      <c r="E755">
        <v>1.7116117923062348</v>
      </c>
      <c r="F755">
        <v>57.607200000000006</v>
      </c>
      <c r="G755">
        <f t="shared" si="44"/>
        <v>14.941703401690319</v>
      </c>
      <c r="H755">
        <f t="shared" si="45"/>
        <v>19.810321670211049</v>
      </c>
      <c r="I755">
        <f t="shared" si="46"/>
        <v>11.455265482733409</v>
      </c>
    </row>
    <row r="756" spans="1:9" x14ac:dyDescent="0.25">
      <c r="A756" t="s">
        <v>309</v>
      </c>
      <c r="B756" t="str">
        <f t="shared" si="47"/>
        <v>Twin1601.190</v>
      </c>
      <c r="C756">
        <v>1.1000000000000001</v>
      </c>
      <c r="D756">
        <v>90</v>
      </c>
      <c r="E756">
        <v>1.8151806587196695</v>
      </c>
      <c r="F756">
        <v>59.5884</v>
      </c>
      <c r="G756">
        <f t="shared" si="44"/>
        <v>15.492660063371673</v>
      </c>
      <c r="H756">
        <f t="shared" si="45"/>
        <v>21.009035401848024</v>
      </c>
      <c r="I756">
        <f t="shared" si="46"/>
        <v>11.716391189729823</v>
      </c>
    </row>
    <row r="757" spans="1:9" x14ac:dyDescent="0.25">
      <c r="A757" t="s">
        <v>309</v>
      </c>
      <c r="B757" t="str">
        <f t="shared" si="47"/>
        <v>Twin1601.1100</v>
      </c>
      <c r="C757">
        <v>1.1000000000000001</v>
      </c>
      <c r="D757">
        <v>100</v>
      </c>
      <c r="E757">
        <v>1.9132985321639757</v>
      </c>
      <c r="F757">
        <v>61.264800000000001</v>
      </c>
      <c r="G757">
        <f t="shared" si="44"/>
        <v>15.960780460869998</v>
      </c>
      <c r="H757">
        <f t="shared" si="45"/>
        <v>22.144658937083051</v>
      </c>
      <c r="I757">
        <f t="shared" si="46"/>
        <v>11.987499839714509</v>
      </c>
    </row>
    <row r="758" spans="1:9" x14ac:dyDescent="0.25">
      <c r="A758" t="s">
        <v>309</v>
      </c>
      <c r="B758" t="str">
        <f t="shared" si="47"/>
        <v>Twin1601.1110</v>
      </c>
      <c r="C758">
        <v>1.1000000000000001</v>
      </c>
      <c r="D758">
        <v>110</v>
      </c>
      <c r="E758">
        <v>2.0059654126391542</v>
      </c>
      <c r="F758">
        <v>62.788800000000002</v>
      </c>
      <c r="G758">
        <f t="shared" si="44"/>
        <v>16.38787674201253</v>
      </c>
      <c r="H758">
        <f t="shared" si="45"/>
        <v>23.217192275916133</v>
      </c>
      <c r="I758">
        <f t="shared" si="46"/>
        <v>12.240544911450254</v>
      </c>
    </row>
    <row r="759" spans="1:9" x14ac:dyDescent="0.25">
      <c r="A759" t="s">
        <v>309</v>
      </c>
      <c r="B759" t="str">
        <f t="shared" si="47"/>
        <v>Twin1601.1120</v>
      </c>
      <c r="C759">
        <v>1.1000000000000001</v>
      </c>
      <c r="D759">
        <v>120</v>
      </c>
      <c r="E759">
        <v>2.0931813001452042</v>
      </c>
      <c r="F759">
        <v>64.00800000000001</v>
      </c>
      <c r="G759">
        <f t="shared" si="44"/>
        <v>16.730604475555225</v>
      </c>
      <c r="H759">
        <f t="shared" si="45"/>
        <v>24.226635418347268</v>
      </c>
      <c r="I759">
        <f t="shared" si="46"/>
        <v>12.511091892725767</v>
      </c>
    </row>
    <row r="760" spans="1:9" x14ac:dyDescent="0.25">
      <c r="A760" t="s">
        <v>309</v>
      </c>
      <c r="B760" t="str">
        <f t="shared" si="47"/>
        <v>Twin1601.1130</v>
      </c>
      <c r="C760">
        <v>1.1000000000000001</v>
      </c>
      <c r="D760">
        <v>130</v>
      </c>
      <c r="E760">
        <v>2.1803971876512547</v>
      </c>
      <c r="F760">
        <v>65.227199999999996</v>
      </c>
      <c r="G760">
        <f t="shared" si="44"/>
        <v>17.07426617232337</v>
      </c>
      <c r="H760">
        <f t="shared" si="45"/>
        <v>25.236078560778409</v>
      </c>
      <c r="I760">
        <f t="shared" si="46"/>
        <v>12.770078465718088</v>
      </c>
    </row>
    <row r="761" spans="1:9" x14ac:dyDescent="0.25">
      <c r="A761" t="s">
        <v>309</v>
      </c>
      <c r="B761" t="str">
        <f t="shared" si="47"/>
        <v>Twin1601.1840</v>
      </c>
      <c r="C761">
        <v>1.18</v>
      </c>
      <c r="D761">
        <v>40</v>
      </c>
      <c r="E761">
        <v>1.3900032071276747</v>
      </c>
      <c r="F761">
        <v>41.757600000000004</v>
      </c>
      <c r="G761">
        <f t="shared" si="44"/>
        <v>10.622834987360797</v>
      </c>
      <c r="H761">
        <f t="shared" si="45"/>
        <v>16.088000082496233</v>
      </c>
      <c r="I761">
        <f t="shared" si="46"/>
        <v>13.085049412718174</v>
      </c>
    </row>
    <row r="762" spans="1:9" x14ac:dyDescent="0.25">
      <c r="A762" t="s">
        <v>309</v>
      </c>
      <c r="B762" t="str">
        <f t="shared" si="47"/>
        <v>Twin1601.1850</v>
      </c>
      <c r="C762">
        <v>1.18</v>
      </c>
      <c r="D762">
        <v>50</v>
      </c>
      <c r="E762">
        <v>1.5535329962015187</v>
      </c>
      <c r="F762">
        <v>48.768000000000001</v>
      </c>
      <c r="G762">
        <f t="shared" si="44"/>
        <v>12.513636413102525</v>
      </c>
      <c r="H762">
        <f t="shared" si="45"/>
        <v>17.980705974554613</v>
      </c>
      <c r="I762">
        <f t="shared" si="46"/>
        <v>12.414720588931903</v>
      </c>
    </row>
    <row r="763" spans="1:9" x14ac:dyDescent="0.25">
      <c r="A763" t="s">
        <v>309</v>
      </c>
      <c r="B763" t="str">
        <f t="shared" si="47"/>
        <v>Twin1601.1860</v>
      </c>
      <c r="C763">
        <v>1.18</v>
      </c>
      <c r="D763">
        <v>60</v>
      </c>
      <c r="E763">
        <v>1.7007098063679786</v>
      </c>
      <c r="F763">
        <v>53.949600000000004</v>
      </c>
      <c r="G763">
        <f t="shared" si="44"/>
        <v>13.93103201153987</v>
      </c>
      <c r="H763">
        <f t="shared" si="45"/>
        <v>19.684141277407161</v>
      </c>
      <c r="I763">
        <f t="shared" si="46"/>
        <v>12.20806760733292</v>
      </c>
    </row>
    <row r="764" spans="1:9" x14ac:dyDescent="0.25">
      <c r="A764" t="s">
        <v>309</v>
      </c>
      <c r="B764" t="str">
        <f t="shared" si="47"/>
        <v>Twin1601.1870</v>
      </c>
      <c r="C764">
        <v>1.18</v>
      </c>
      <c r="D764">
        <v>70</v>
      </c>
      <c r="E764">
        <v>1.8369846305961821</v>
      </c>
      <c r="F764">
        <v>57.607200000000006</v>
      </c>
      <c r="G764">
        <f t="shared" si="44"/>
        <v>14.941703401690319</v>
      </c>
      <c r="H764">
        <f t="shared" si="45"/>
        <v>21.261396187455809</v>
      </c>
      <c r="I764">
        <f t="shared" si="46"/>
        <v>12.29434543847503</v>
      </c>
    </row>
    <row r="765" spans="1:9" x14ac:dyDescent="0.25">
      <c r="A765" t="s">
        <v>309</v>
      </c>
      <c r="B765" t="str">
        <f t="shared" si="47"/>
        <v>Twin1601.1880</v>
      </c>
      <c r="C765">
        <v>1.18</v>
      </c>
      <c r="D765">
        <v>80</v>
      </c>
      <c r="E765">
        <v>1.9623574688861289</v>
      </c>
      <c r="F765">
        <v>60.0456</v>
      </c>
      <c r="G765">
        <f t="shared" si="44"/>
        <v>15.620154144584632</v>
      </c>
      <c r="H765">
        <f t="shared" si="45"/>
        <v>22.712470704700564</v>
      </c>
      <c r="I765">
        <f t="shared" si="46"/>
        <v>12.562984018736209</v>
      </c>
    </row>
    <row r="766" spans="1:9" x14ac:dyDescent="0.25">
      <c r="A766" t="s">
        <v>309</v>
      </c>
      <c r="B766" t="str">
        <f t="shared" si="47"/>
        <v>Twin1601.1890</v>
      </c>
      <c r="C766">
        <v>1.18</v>
      </c>
      <c r="D766">
        <v>90</v>
      </c>
      <c r="E766">
        <v>2.0822793142069482</v>
      </c>
      <c r="F766">
        <v>61.874400000000001</v>
      </c>
      <c r="G766">
        <f t="shared" si="44"/>
        <v>16.13144385522223</v>
      </c>
      <c r="H766">
        <f t="shared" si="45"/>
        <v>24.100455025543383</v>
      </c>
      <c r="I766">
        <f t="shared" si="46"/>
        <v>12.90820172636222</v>
      </c>
    </row>
    <row r="767" spans="1:9" x14ac:dyDescent="0.25">
      <c r="A767" t="s">
        <v>309</v>
      </c>
      <c r="B767" t="str">
        <f t="shared" si="47"/>
        <v>Twin1601.18100</v>
      </c>
      <c r="C767">
        <v>1.18</v>
      </c>
      <c r="D767">
        <v>100</v>
      </c>
      <c r="E767">
        <v>2.1967501665586391</v>
      </c>
      <c r="F767">
        <v>63.703200000000002</v>
      </c>
      <c r="G767">
        <f t="shared" si="44"/>
        <v>16.64483498311715</v>
      </c>
      <c r="H767">
        <f t="shared" si="45"/>
        <v>25.425349149984246</v>
      </c>
      <c r="I767">
        <f t="shared" si="46"/>
        <v>13.197788796265039</v>
      </c>
    </row>
    <row r="768" spans="1:9" x14ac:dyDescent="0.25">
      <c r="A768" t="s">
        <v>309</v>
      </c>
      <c r="B768" t="str">
        <f t="shared" si="47"/>
        <v>Twin1601.18110</v>
      </c>
      <c r="C768">
        <v>1.18</v>
      </c>
      <c r="D768">
        <v>110</v>
      </c>
      <c r="E768">
        <v>2.3057700259412015</v>
      </c>
      <c r="F768">
        <v>65.227199999999996</v>
      </c>
      <c r="G768">
        <f t="shared" si="44"/>
        <v>17.07426617232337</v>
      </c>
      <c r="H768">
        <f t="shared" si="45"/>
        <v>26.687153078023165</v>
      </c>
      <c r="I768">
        <f t="shared" si="46"/>
        <v>13.504357977496875</v>
      </c>
    </row>
    <row r="769" spans="1:9" x14ac:dyDescent="0.25">
      <c r="A769" t="s">
        <v>309</v>
      </c>
      <c r="B769" t="str">
        <f t="shared" si="47"/>
        <v>Twin1601.18120</v>
      </c>
      <c r="C769">
        <v>1.18</v>
      </c>
      <c r="D769">
        <v>120</v>
      </c>
      <c r="E769">
        <v>2.4038878993855084</v>
      </c>
      <c r="F769">
        <v>66.598799999999997</v>
      </c>
      <c r="G769">
        <f t="shared" si="44"/>
        <v>17.462001959105486</v>
      </c>
      <c r="H769">
        <f t="shared" si="45"/>
        <v>27.822776613258199</v>
      </c>
      <c r="I769">
        <f t="shared" si="46"/>
        <v>13.766393481201114</v>
      </c>
    </row>
    <row r="770" spans="1:9" x14ac:dyDescent="0.25">
      <c r="A770" t="s">
        <v>309</v>
      </c>
      <c r="B770" t="str">
        <f t="shared" si="47"/>
        <v>Twin1601.18130</v>
      </c>
      <c r="C770">
        <v>1.18</v>
      </c>
      <c r="D770">
        <v>130</v>
      </c>
      <c r="E770">
        <v>2.5074567657989428</v>
      </c>
      <c r="F770">
        <v>67.665599999999998</v>
      </c>
      <c r="G770">
        <f t="shared" si="44"/>
        <v>17.764391455536099</v>
      </c>
      <c r="H770">
        <f t="shared" si="45"/>
        <v>29.02149034489517</v>
      </c>
      <c r="I770">
        <f t="shared" si="46"/>
        <v>14.115072683885934</v>
      </c>
    </row>
    <row r="771" spans="1:9" x14ac:dyDescent="0.25">
      <c r="A771" t="s">
        <v>309</v>
      </c>
      <c r="B771" t="str">
        <f t="shared" si="47"/>
        <v>Twin1601.2640</v>
      </c>
      <c r="C771">
        <v>1.26</v>
      </c>
      <c r="D771">
        <v>40</v>
      </c>
      <c r="E771">
        <v>1.5916899469854158</v>
      </c>
      <c r="F771">
        <v>42.976800000000004</v>
      </c>
      <c r="G771">
        <f t="shared" ref="G771:G834" si="48">(PI()*(G$1+F771)^2)/10000-((PI()*(G$1)^2)/10000)</f>
        <v>10.94945185526408</v>
      </c>
      <c r="H771">
        <f t="shared" ref="H771:H834" si="49">E771/0.0864</f>
        <v>18.422337349368238</v>
      </c>
      <c r="I771">
        <f t="shared" ref="I771:I834" si="50">E771/G771*100</f>
        <v>14.5367089423768</v>
      </c>
    </row>
    <row r="772" spans="1:9" x14ac:dyDescent="0.25">
      <c r="A772" t="s">
        <v>309</v>
      </c>
      <c r="B772" t="str">
        <f t="shared" si="47"/>
        <v>Twin1601.2650</v>
      </c>
      <c r="C772">
        <v>1.26</v>
      </c>
      <c r="D772">
        <v>50</v>
      </c>
      <c r="E772">
        <v>1.7770237079357725</v>
      </c>
      <c r="F772">
        <v>49.987200000000001</v>
      </c>
      <c r="G772">
        <f t="shared" si="48"/>
        <v>12.845623569552281</v>
      </c>
      <c r="H772">
        <f t="shared" si="49"/>
        <v>20.567404027034403</v>
      </c>
      <c r="I772">
        <f t="shared" si="50"/>
        <v>13.833689725641779</v>
      </c>
    </row>
    <row r="773" spans="1:9" x14ac:dyDescent="0.25">
      <c r="A773" t="s">
        <v>309</v>
      </c>
      <c r="B773" t="str">
        <f t="shared" si="47"/>
        <v>Twin1601.2660</v>
      </c>
      <c r="C773">
        <v>1.26</v>
      </c>
      <c r="D773">
        <v>60</v>
      </c>
      <c r="E773">
        <v>1.9460044899787445</v>
      </c>
      <c r="F773">
        <v>55.626000000000005</v>
      </c>
      <c r="G773">
        <f t="shared" si="48"/>
        <v>14.393212986651186</v>
      </c>
      <c r="H773">
        <f t="shared" si="49"/>
        <v>22.523200115494728</v>
      </c>
      <c r="I773">
        <f t="shared" si="50"/>
        <v>13.520292458560457</v>
      </c>
    </row>
    <row r="774" spans="1:9" x14ac:dyDescent="0.25">
      <c r="A774" t="s">
        <v>309</v>
      </c>
      <c r="B774" t="str">
        <f t="shared" si="47"/>
        <v>Twin1601.2670</v>
      </c>
      <c r="C774">
        <v>1.26</v>
      </c>
      <c r="D774">
        <v>70</v>
      </c>
      <c r="E774">
        <v>2.1040832860834606</v>
      </c>
      <c r="F774">
        <v>59.8932</v>
      </c>
      <c r="G774">
        <f t="shared" si="48"/>
        <v>15.577641524338254</v>
      </c>
      <c r="H774">
        <f t="shared" si="49"/>
        <v>24.352815811151164</v>
      </c>
      <c r="I774">
        <f t="shared" si="50"/>
        <v>13.507072189304619</v>
      </c>
    </row>
    <row r="775" spans="1:9" x14ac:dyDescent="0.25">
      <c r="A775" t="s">
        <v>309</v>
      </c>
      <c r="B775" t="str">
        <f t="shared" si="47"/>
        <v>Twin1601.2680</v>
      </c>
      <c r="C775">
        <v>1.26</v>
      </c>
      <c r="D775">
        <v>80</v>
      </c>
      <c r="E775">
        <v>2.2458091032807923</v>
      </c>
      <c r="F775">
        <v>62.484000000000002</v>
      </c>
      <c r="G775">
        <f t="shared" si="48"/>
        <v>16.302340740380842</v>
      </c>
      <c r="H775">
        <f t="shared" si="49"/>
        <v>25.993160917601763</v>
      </c>
      <c r="I775">
        <f t="shared" si="50"/>
        <v>13.775991675342247</v>
      </c>
    </row>
    <row r="776" spans="1:9" x14ac:dyDescent="0.25">
      <c r="A776" t="s">
        <v>309</v>
      </c>
      <c r="B776" t="str">
        <f t="shared" si="47"/>
        <v>Twin1601.2690</v>
      </c>
      <c r="C776">
        <v>1.26</v>
      </c>
      <c r="D776">
        <v>90</v>
      </c>
      <c r="E776">
        <v>2.3820839275089956</v>
      </c>
      <c r="F776">
        <v>64.31280000000001</v>
      </c>
      <c r="G776">
        <f t="shared" si="48"/>
        <v>16.816432340694881</v>
      </c>
      <c r="H776">
        <f t="shared" si="49"/>
        <v>27.570415827650411</v>
      </c>
      <c r="I776">
        <f t="shared" si="50"/>
        <v>14.165215779713739</v>
      </c>
    </row>
    <row r="777" spans="1:9" x14ac:dyDescent="0.25">
      <c r="A777" t="s">
        <v>309</v>
      </c>
      <c r="B777" t="str">
        <f t="shared" si="47"/>
        <v>Twin1601.26100</v>
      </c>
      <c r="C777">
        <v>1.26</v>
      </c>
      <c r="D777">
        <v>100</v>
      </c>
      <c r="E777">
        <v>2.5129077587680708</v>
      </c>
      <c r="F777">
        <v>66.141599999999997</v>
      </c>
      <c r="G777">
        <f t="shared" si="48"/>
        <v>17.332625358266206</v>
      </c>
      <c r="H777">
        <f t="shared" si="49"/>
        <v>29.084580541297115</v>
      </c>
      <c r="I777">
        <f t="shared" si="50"/>
        <v>14.498136934400563</v>
      </c>
    </row>
    <row r="778" spans="1:9" x14ac:dyDescent="0.25">
      <c r="A778" t="s">
        <v>309</v>
      </c>
      <c r="B778" t="str">
        <f t="shared" si="47"/>
        <v>Twin1601.26110</v>
      </c>
      <c r="C778">
        <v>1.26</v>
      </c>
      <c r="D778">
        <v>110</v>
      </c>
      <c r="E778">
        <v>2.6382805970580181</v>
      </c>
      <c r="F778">
        <v>67.817999999999998</v>
      </c>
      <c r="G778">
        <f t="shared" si="48"/>
        <v>17.807648327727776</v>
      </c>
      <c r="H778">
        <f t="shared" si="49"/>
        <v>30.535655058541874</v>
      </c>
      <c r="I778">
        <f t="shared" si="50"/>
        <v>14.815435191125307</v>
      </c>
    </row>
    <row r="779" spans="1:9" x14ac:dyDescent="0.25">
      <c r="A779" t="s">
        <v>309</v>
      </c>
      <c r="B779" t="str">
        <f t="shared" si="47"/>
        <v>Twin1601.26120</v>
      </c>
      <c r="C779">
        <v>1.26</v>
      </c>
      <c r="D779">
        <v>120</v>
      </c>
      <c r="E779">
        <v>2.7527514494097085</v>
      </c>
      <c r="F779">
        <v>69.037199999999999</v>
      </c>
      <c r="G779">
        <f t="shared" si="48"/>
        <v>18.154228659575537</v>
      </c>
      <c r="H779">
        <f t="shared" si="49"/>
        <v>31.860549182982737</v>
      </c>
      <c r="I779">
        <f t="shared" si="50"/>
        <v>15.163141882967063</v>
      </c>
    </row>
    <row r="780" spans="1:9" x14ac:dyDescent="0.25">
      <c r="A780" t="s">
        <v>309</v>
      </c>
      <c r="B780" t="str">
        <f t="shared" si="47"/>
        <v>Twin1601.26130</v>
      </c>
      <c r="C780">
        <v>1.26</v>
      </c>
      <c r="D780">
        <v>130</v>
      </c>
      <c r="E780">
        <v>2.8672223017613994</v>
      </c>
      <c r="F780">
        <v>70.256399999999999</v>
      </c>
      <c r="G780">
        <f t="shared" si="48"/>
        <v>18.501742954648762</v>
      </c>
      <c r="H780">
        <f t="shared" si="49"/>
        <v>33.185443307423604</v>
      </c>
      <c r="I780">
        <f t="shared" si="50"/>
        <v>15.497038894062568</v>
      </c>
    </row>
    <row r="781" spans="1:9" x14ac:dyDescent="0.25">
      <c r="A781" t="s">
        <v>309</v>
      </c>
      <c r="B781" t="str">
        <f t="shared" si="47"/>
        <v>Twin1601.3440</v>
      </c>
      <c r="C781">
        <v>1.34</v>
      </c>
      <c r="D781">
        <v>40</v>
      </c>
      <c r="E781">
        <v>1.7824747009049007</v>
      </c>
      <c r="F781">
        <v>43.434000000000005</v>
      </c>
      <c r="G781">
        <f t="shared" si="48"/>
        <v>11.072173968121874</v>
      </c>
      <c r="H781">
        <f t="shared" si="49"/>
        <v>20.630494223436351</v>
      </c>
      <c r="I781">
        <f t="shared" si="50"/>
        <v>16.098687629338741</v>
      </c>
    </row>
    <row r="782" spans="1:9" x14ac:dyDescent="0.25">
      <c r="A782" t="s">
        <v>309</v>
      </c>
      <c r="B782" t="str">
        <f t="shared" si="47"/>
        <v>Twin1601.3450</v>
      </c>
      <c r="C782">
        <v>1.34</v>
      </c>
      <c r="D782">
        <v>50</v>
      </c>
      <c r="E782">
        <v>1.9950634267008978</v>
      </c>
      <c r="F782">
        <v>51.358800000000002</v>
      </c>
      <c r="G782">
        <f t="shared" si="48"/>
        <v>13.220225498476168</v>
      </c>
      <c r="H782">
        <f t="shared" si="49"/>
        <v>23.091011883112241</v>
      </c>
      <c r="I782">
        <f t="shared" si="50"/>
        <v>15.090993923899854</v>
      </c>
    </row>
    <row r="783" spans="1:9" x14ac:dyDescent="0.25">
      <c r="A783" t="s">
        <v>309</v>
      </c>
      <c r="B783" t="str">
        <f t="shared" si="47"/>
        <v>Twin1601.3460</v>
      </c>
      <c r="C783">
        <v>1.34</v>
      </c>
      <c r="D783">
        <v>60</v>
      </c>
      <c r="E783">
        <v>2.1803971876512547</v>
      </c>
      <c r="F783">
        <v>57.607200000000006</v>
      </c>
      <c r="G783">
        <f t="shared" si="48"/>
        <v>14.941703401690319</v>
      </c>
      <c r="H783">
        <f t="shared" si="49"/>
        <v>25.236078560778409</v>
      </c>
      <c r="I783">
        <f t="shared" si="50"/>
        <v>14.592694882462942</v>
      </c>
    </row>
    <row r="784" spans="1:9" x14ac:dyDescent="0.25">
      <c r="A784" t="s">
        <v>309</v>
      </c>
      <c r="B784" t="str">
        <f t="shared" si="47"/>
        <v>Twin1601.3470</v>
      </c>
      <c r="C784">
        <v>1.34</v>
      </c>
      <c r="D784">
        <v>70</v>
      </c>
      <c r="E784">
        <v>2.3602799556324832</v>
      </c>
      <c r="F784">
        <v>61.874400000000001</v>
      </c>
      <c r="G784">
        <f t="shared" si="48"/>
        <v>16.13144385522223</v>
      </c>
      <c r="H784">
        <f t="shared" si="49"/>
        <v>27.318055042042626</v>
      </c>
      <c r="I784">
        <f t="shared" si="50"/>
        <v>14.631548030143565</v>
      </c>
    </row>
    <row r="785" spans="1:9" x14ac:dyDescent="0.25">
      <c r="A785" t="s">
        <v>309</v>
      </c>
      <c r="B785" t="str">
        <f t="shared" si="47"/>
        <v>Twin1601.3480</v>
      </c>
      <c r="C785">
        <v>1.34</v>
      </c>
      <c r="D785">
        <v>80</v>
      </c>
      <c r="E785">
        <v>2.5183587517371993</v>
      </c>
      <c r="F785">
        <v>64.77000000000001</v>
      </c>
      <c r="G785">
        <f t="shared" si="48"/>
        <v>16.945283587219819</v>
      </c>
      <c r="H785">
        <f t="shared" si="49"/>
        <v>29.147670737699062</v>
      </c>
      <c r="I785">
        <f t="shared" si="50"/>
        <v>14.861709093122244</v>
      </c>
    </row>
    <row r="786" spans="1:9" x14ac:dyDescent="0.25">
      <c r="A786" t="s">
        <v>309</v>
      </c>
      <c r="B786" t="str">
        <f t="shared" si="47"/>
        <v>Twin1601.3490</v>
      </c>
      <c r="C786">
        <v>1.34</v>
      </c>
      <c r="D786">
        <v>90</v>
      </c>
      <c r="E786">
        <v>2.6709865548727869</v>
      </c>
      <c r="F786">
        <v>66.903599999999997</v>
      </c>
      <c r="G786">
        <f t="shared" si="48"/>
        <v>17.548325992208682</v>
      </c>
      <c r="H786">
        <f t="shared" si="49"/>
        <v>30.914196236953551</v>
      </c>
      <c r="I786">
        <f t="shared" si="50"/>
        <v>15.220748440954903</v>
      </c>
    </row>
    <row r="787" spans="1:9" x14ac:dyDescent="0.25">
      <c r="A787" t="s">
        <v>309</v>
      </c>
      <c r="B787" t="str">
        <f t="shared" si="47"/>
        <v>Twin1601.34100</v>
      </c>
      <c r="C787">
        <v>1.34</v>
      </c>
      <c r="D787">
        <v>100</v>
      </c>
      <c r="E787">
        <v>2.8181633650392461</v>
      </c>
      <c r="F787">
        <v>69.037199999999999</v>
      </c>
      <c r="G787">
        <f t="shared" si="48"/>
        <v>18.154228659575537</v>
      </c>
      <c r="H787">
        <f t="shared" si="49"/>
        <v>32.617631539806091</v>
      </c>
      <c r="I787">
        <f t="shared" si="50"/>
        <v>15.523454165334599</v>
      </c>
    </row>
    <row r="788" spans="1:9" x14ac:dyDescent="0.25">
      <c r="A788" t="s">
        <v>309</v>
      </c>
      <c r="B788" t="str">
        <f t="shared" si="47"/>
        <v>Twin1601.34110</v>
      </c>
      <c r="C788">
        <v>1.34</v>
      </c>
      <c r="D788">
        <v>110</v>
      </c>
      <c r="E788">
        <v>2.9544381892674498</v>
      </c>
      <c r="F788">
        <v>70.866</v>
      </c>
      <c r="G788">
        <f t="shared" si="48"/>
        <v>18.675850338394937</v>
      </c>
      <c r="H788">
        <f t="shared" si="49"/>
        <v>34.194886449854742</v>
      </c>
      <c r="I788">
        <f t="shared" si="50"/>
        <v>15.8195644949753</v>
      </c>
    </row>
    <row r="789" spans="1:9" x14ac:dyDescent="0.25">
      <c r="A789" t="s">
        <v>309</v>
      </c>
      <c r="B789" t="str">
        <f t="shared" si="47"/>
        <v>Twin1601.34120</v>
      </c>
      <c r="C789">
        <v>1.34</v>
      </c>
      <c r="D789">
        <v>120</v>
      </c>
      <c r="E789">
        <v>3.0852620205265251</v>
      </c>
      <c r="F789">
        <v>72.39</v>
      </c>
      <c r="G789">
        <f t="shared" si="48"/>
        <v>19.112140320038208</v>
      </c>
      <c r="H789">
        <f t="shared" si="49"/>
        <v>35.709051163501449</v>
      </c>
      <c r="I789">
        <f t="shared" si="50"/>
        <v>16.142943536741246</v>
      </c>
    </row>
    <row r="790" spans="1:9" x14ac:dyDescent="0.25">
      <c r="A790" t="s">
        <v>309</v>
      </c>
      <c r="B790" t="str">
        <f t="shared" si="47"/>
        <v>Twin1601.34130</v>
      </c>
      <c r="C790">
        <v>1.34</v>
      </c>
      <c r="D790">
        <v>130</v>
      </c>
      <c r="E790">
        <v>3.2106348588164724</v>
      </c>
      <c r="F790">
        <v>73.456800000000001</v>
      </c>
      <c r="G790">
        <f t="shared" si="48"/>
        <v>19.418411601124674</v>
      </c>
      <c r="H790">
        <f t="shared" si="49"/>
        <v>37.160125680746205</v>
      </c>
      <c r="I790">
        <f t="shared" si="50"/>
        <v>16.533972627454858</v>
      </c>
    </row>
    <row r="791" spans="1:9" x14ac:dyDescent="0.25">
      <c r="A791" t="s">
        <v>309</v>
      </c>
      <c r="B791" t="str">
        <f t="shared" si="47"/>
        <v>Twin1601.4240</v>
      </c>
      <c r="C791">
        <v>1.42</v>
      </c>
      <c r="D791">
        <v>40</v>
      </c>
      <c r="E791">
        <v>1.9950634267008978</v>
      </c>
      <c r="F791">
        <v>43.891200000000005</v>
      </c>
      <c r="G791">
        <f t="shared" si="48"/>
        <v>11.195027419558258</v>
      </c>
      <c r="H791">
        <f t="shared" si="49"/>
        <v>23.091011883112241</v>
      </c>
      <c r="I791">
        <f t="shared" si="50"/>
        <v>17.820978474920256</v>
      </c>
    </row>
    <row r="792" spans="1:9" x14ac:dyDescent="0.25">
      <c r="A792" t="s">
        <v>309</v>
      </c>
      <c r="B792" t="str">
        <f t="shared" si="47"/>
        <v>Twin1601.4250</v>
      </c>
      <c r="C792">
        <v>1.42</v>
      </c>
      <c r="D792">
        <v>50</v>
      </c>
      <c r="E792">
        <v>2.2294561243734079</v>
      </c>
      <c r="F792">
        <v>52.882800000000003</v>
      </c>
      <c r="G792">
        <f t="shared" si="48"/>
        <v>13.637836215609994</v>
      </c>
      <c r="H792">
        <f t="shared" si="49"/>
        <v>25.803890328395923</v>
      </c>
      <c r="I792">
        <f t="shared" si="50"/>
        <v>16.3475795509375</v>
      </c>
    </row>
    <row r="793" spans="1:9" x14ac:dyDescent="0.25">
      <c r="A793" t="s">
        <v>309</v>
      </c>
      <c r="B793" t="str">
        <f t="shared" si="47"/>
        <v>Twin1601.4260</v>
      </c>
      <c r="C793">
        <v>1.42</v>
      </c>
      <c r="D793">
        <v>60</v>
      </c>
      <c r="E793">
        <v>2.4474958431385332</v>
      </c>
      <c r="F793">
        <v>59.436</v>
      </c>
      <c r="G793">
        <f t="shared" si="48"/>
        <v>15.450191222651497</v>
      </c>
      <c r="H793">
        <f t="shared" si="49"/>
        <v>28.327498184473761</v>
      </c>
      <c r="I793">
        <f t="shared" si="50"/>
        <v>15.841200978472447</v>
      </c>
    </row>
    <row r="794" spans="1:9" x14ac:dyDescent="0.25">
      <c r="A794" t="s">
        <v>309</v>
      </c>
      <c r="B794" t="str">
        <f t="shared" si="47"/>
        <v>Twin1601.4270</v>
      </c>
      <c r="C794">
        <v>1.42</v>
      </c>
      <c r="D794">
        <v>70</v>
      </c>
      <c r="E794">
        <v>2.6382805970580181</v>
      </c>
      <c r="F794">
        <v>64.00800000000001</v>
      </c>
      <c r="G794">
        <f t="shared" si="48"/>
        <v>16.730604475555225</v>
      </c>
      <c r="H794">
        <f t="shared" si="49"/>
        <v>30.535655058541874</v>
      </c>
      <c r="I794">
        <f t="shared" si="50"/>
        <v>15.769188739789772</v>
      </c>
    </row>
    <row r="795" spans="1:9" x14ac:dyDescent="0.25">
      <c r="A795" t="s">
        <v>309</v>
      </c>
      <c r="B795" t="str">
        <f t="shared" si="47"/>
        <v>Twin1601.4280</v>
      </c>
      <c r="C795">
        <v>1.42</v>
      </c>
      <c r="D795">
        <v>80</v>
      </c>
      <c r="E795">
        <v>2.8236143580083746</v>
      </c>
      <c r="F795">
        <v>67.055999999999997</v>
      </c>
      <c r="G795">
        <f t="shared" si="48"/>
        <v>17.591509898523363</v>
      </c>
      <c r="H795">
        <f t="shared" si="49"/>
        <v>32.680721736208035</v>
      </c>
      <c r="I795">
        <f t="shared" si="50"/>
        <v>16.051006276871036</v>
      </c>
    </row>
    <row r="796" spans="1:9" x14ac:dyDescent="0.25">
      <c r="A796" t="s">
        <v>309</v>
      </c>
      <c r="B796" t="str">
        <f t="shared" si="47"/>
        <v>Twin1601.4290</v>
      </c>
      <c r="C796">
        <v>1.42</v>
      </c>
      <c r="D796">
        <v>90</v>
      </c>
      <c r="E796">
        <v>2.9925951400513466</v>
      </c>
      <c r="F796">
        <v>69.494399999999999</v>
      </c>
      <c r="G796">
        <f t="shared" si="48"/>
        <v>18.284437071412512</v>
      </c>
      <c r="H796">
        <f t="shared" si="49"/>
        <v>34.63651782466836</v>
      </c>
      <c r="I796">
        <f t="shared" si="50"/>
        <v>16.366897861625894</v>
      </c>
    </row>
    <row r="797" spans="1:9" x14ac:dyDescent="0.25">
      <c r="A797" t="s">
        <v>309</v>
      </c>
      <c r="B797" t="str">
        <f t="shared" si="47"/>
        <v>Twin1601.42100</v>
      </c>
      <c r="C797">
        <v>1.42</v>
      </c>
      <c r="D797">
        <v>100</v>
      </c>
      <c r="E797">
        <v>3.1561249291251907</v>
      </c>
      <c r="F797">
        <v>71.9328</v>
      </c>
      <c r="G797">
        <f t="shared" si="48"/>
        <v>18.981100097203552</v>
      </c>
      <c r="H797">
        <f t="shared" si="49"/>
        <v>36.52922371672674</v>
      </c>
      <c r="I797">
        <f t="shared" si="50"/>
        <v>16.627723962059378</v>
      </c>
    </row>
    <row r="798" spans="1:9" x14ac:dyDescent="0.25">
      <c r="A798" t="s">
        <v>309</v>
      </c>
      <c r="B798" t="str">
        <f t="shared" si="47"/>
        <v>Twin1601.42110</v>
      </c>
      <c r="C798">
        <v>1.42</v>
      </c>
      <c r="D798">
        <v>110</v>
      </c>
      <c r="E798">
        <v>3.3087527322607788</v>
      </c>
      <c r="F798">
        <v>73.914000000000001</v>
      </c>
      <c r="G798">
        <f t="shared" si="48"/>
        <v>19.54988961922129</v>
      </c>
      <c r="H798">
        <f t="shared" si="49"/>
        <v>38.295749215981232</v>
      </c>
      <c r="I798">
        <f t="shared" si="50"/>
        <v>16.92466196334756</v>
      </c>
    </row>
    <row r="799" spans="1:9" x14ac:dyDescent="0.25">
      <c r="A799" t="s">
        <v>309</v>
      </c>
      <c r="B799" t="str">
        <f t="shared" si="47"/>
        <v>Twin1601.42120</v>
      </c>
      <c r="C799">
        <v>1.42</v>
      </c>
      <c r="D799">
        <v>120</v>
      </c>
      <c r="E799">
        <v>3.4559295424272385</v>
      </c>
      <c r="F799">
        <v>75.438000000000002</v>
      </c>
      <c r="G799">
        <f t="shared" si="48"/>
        <v>19.989098235944169</v>
      </c>
      <c r="H799">
        <f t="shared" si="49"/>
        <v>39.999184518833779</v>
      </c>
      <c r="I799">
        <f t="shared" si="50"/>
        <v>17.28907178120134</v>
      </c>
    </row>
    <row r="800" spans="1:9" x14ac:dyDescent="0.25">
      <c r="A800" t="s">
        <v>309</v>
      </c>
      <c r="B800" t="str">
        <f t="shared" si="47"/>
        <v>Twin1601.42130</v>
      </c>
      <c r="C800">
        <v>1.42</v>
      </c>
      <c r="D800">
        <v>130</v>
      </c>
      <c r="E800">
        <v>3.5976553596245702</v>
      </c>
      <c r="F800">
        <v>76.657200000000003</v>
      </c>
      <c r="G800">
        <f t="shared" si="48"/>
        <v>20.341515837951135</v>
      </c>
      <c r="H800">
        <f t="shared" si="49"/>
        <v>41.639529625284375</v>
      </c>
      <c r="I800">
        <f t="shared" si="50"/>
        <v>17.686269736655664</v>
      </c>
    </row>
    <row r="801" spans="1:9" x14ac:dyDescent="0.25">
      <c r="A801" t="s">
        <v>309</v>
      </c>
      <c r="B801" t="str">
        <f t="shared" si="47"/>
        <v>Twin1601.540</v>
      </c>
      <c r="C801">
        <v>1.5</v>
      </c>
      <c r="D801">
        <v>40</v>
      </c>
      <c r="E801">
        <v>2.2294561243734079</v>
      </c>
      <c r="F801">
        <v>44.348400000000005</v>
      </c>
      <c r="G801">
        <f t="shared" si="48"/>
        <v>11.318012209573212</v>
      </c>
      <c r="H801">
        <f t="shared" si="49"/>
        <v>25.803890328395923</v>
      </c>
      <c r="I801">
        <f t="shared" si="50"/>
        <v>19.698301107041111</v>
      </c>
    </row>
    <row r="802" spans="1:9" x14ac:dyDescent="0.25">
      <c r="A802" t="s">
        <v>309</v>
      </c>
      <c r="B802" t="str">
        <f t="shared" si="47"/>
        <v>Twin1601.550</v>
      </c>
      <c r="C802">
        <v>1.5</v>
      </c>
      <c r="D802">
        <v>50</v>
      </c>
      <c r="E802">
        <v>2.4965547798606864</v>
      </c>
      <c r="F802">
        <v>54.254400000000004</v>
      </c>
      <c r="G802">
        <f t="shared" si="48"/>
        <v>14.014933577526996</v>
      </c>
      <c r="H802">
        <f t="shared" si="49"/>
        <v>28.895309952091278</v>
      </c>
      <c r="I802">
        <f t="shared" si="50"/>
        <v>17.813532729572991</v>
      </c>
    </row>
    <row r="803" spans="1:9" x14ac:dyDescent="0.25">
      <c r="A803" t="s">
        <v>309</v>
      </c>
      <c r="B803" t="str">
        <f t="shared" si="47"/>
        <v>Twin1601.560</v>
      </c>
      <c r="C803">
        <v>1.5</v>
      </c>
      <c r="D803">
        <v>60</v>
      </c>
      <c r="E803">
        <v>2.7309474775331961</v>
      </c>
      <c r="F803">
        <v>61.264800000000001</v>
      </c>
      <c r="G803">
        <f t="shared" si="48"/>
        <v>15.960780460869998</v>
      </c>
      <c r="H803">
        <f t="shared" si="49"/>
        <v>31.608188397374953</v>
      </c>
      <c r="I803">
        <f t="shared" si="50"/>
        <v>17.110363019079681</v>
      </c>
    </row>
    <row r="804" spans="1:9" x14ac:dyDescent="0.25">
      <c r="A804" t="s">
        <v>309</v>
      </c>
      <c r="B804" t="str">
        <f t="shared" si="47"/>
        <v>Twin1601.570</v>
      </c>
      <c r="C804">
        <v>1.5</v>
      </c>
      <c r="D804">
        <v>70</v>
      </c>
      <c r="E804">
        <v>2.9489871962983218</v>
      </c>
      <c r="F804">
        <v>65.989199999999997</v>
      </c>
      <c r="G804">
        <f t="shared" si="48"/>
        <v>17.2895290110039</v>
      </c>
      <c r="H804">
        <f t="shared" si="49"/>
        <v>34.131796253452798</v>
      </c>
      <c r="I804">
        <f t="shared" si="50"/>
        <v>17.056492368423932</v>
      </c>
    </row>
    <row r="805" spans="1:9" x14ac:dyDescent="0.25">
      <c r="A805" t="s">
        <v>309</v>
      </c>
      <c r="B805" t="str">
        <f t="shared" si="47"/>
        <v>Twin1601.580</v>
      </c>
      <c r="C805">
        <v>1.5</v>
      </c>
      <c r="D805">
        <v>80</v>
      </c>
      <c r="E805">
        <v>3.1561249291251907</v>
      </c>
      <c r="F805">
        <v>69.341999999999999</v>
      </c>
      <c r="G805">
        <f t="shared" si="48"/>
        <v>18.241019674291465</v>
      </c>
      <c r="H805">
        <f t="shared" si="49"/>
        <v>36.52922371672674</v>
      </c>
      <c r="I805">
        <f t="shared" si="50"/>
        <v>17.302349240779403</v>
      </c>
    </row>
    <row r="806" spans="1:9" x14ac:dyDescent="0.25">
      <c r="A806" t="s">
        <v>309</v>
      </c>
      <c r="B806" t="str">
        <f t="shared" ref="B806:B869" si="51">A806&amp;C806&amp;D806</f>
        <v>Twin1601.590</v>
      </c>
      <c r="C806">
        <v>1.5</v>
      </c>
      <c r="D806">
        <v>90</v>
      </c>
      <c r="E806">
        <v>3.3469096830446756</v>
      </c>
      <c r="F806">
        <v>72.0852</v>
      </c>
      <c r="G806">
        <f t="shared" si="48"/>
        <v>19.024765578306372</v>
      </c>
      <c r="H806">
        <f t="shared" si="49"/>
        <v>38.737380590794857</v>
      </c>
      <c r="I806">
        <f t="shared" si="50"/>
        <v>17.5923833030621</v>
      </c>
    </row>
    <row r="807" spans="1:9" x14ac:dyDescent="0.25">
      <c r="A807" t="s">
        <v>309</v>
      </c>
      <c r="B807" t="str">
        <f t="shared" si="51"/>
        <v>Twin1601.5100</v>
      </c>
      <c r="C807">
        <v>1.5</v>
      </c>
      <c r="D807">
        <v>100</v>
      </c>
      <c r="E807">
        <v>3.5267924510259041</v>
      </c>
      <c r="F807">
        <v>74.676000000000002</v>
      </c>
      <c r="G807">
        <f t="shared" si="48"/>
        <v>19.769311512890255</v>
      </c>
      <c r="H807">
        <f t="shared" si="49"/>
        <v>40.81935707205907</v>
      </c>
      <c r="I807">
        <f t="shared" si="50"/>
        <v>17.83973330951013</v>
      </c>
    </row>
    <row r="808" spans="1:9" x14ac:dyDescent="0.25">
      <c r="A808" t="s">
        <v>309</v>
      </c>
      <c r="B808" t="str">
        <f t="shared" si="51"/>
        <v>Twin1601.5110</v>
      </c>
      <c r="C808">
        <v>1.5</v>
      </c>
      <c r="D808">
        <v>110</v>
      </c>
      <c r="E808">
        <v>3.7012242260380046</v>
      </c>
      <c r="F808">
        <v>76.962000000000003</v>
      </c>
      <c r="G808">
        <f t="shared" si="48"/>
        <v>20.429766170206847</v>
      </c>
      <c r="H808">
        <f t="shared" si="49"/>
        <v>42.838243356921346</v>
      </c>
      <c r="I808">
        <f t="shared" si="50"/>
        <v>18.116821285187186</v>
      </c>
    </row>
    <row r="809" spans="1:9" x14ac:dyDescent="0.25">
      <c r="A809" t="s">
        <v>309</v>
      </c>
      <c r="B809" t="str">
        <f t="shared" si="51"/>
        <v>Twin1601.5120</v>
      </c>
      <c r="C809">
        <v>1.5</v>
      </c>
      <c r="D809">
        <v>120</v>
      </c>
      <c r="E809">
        <v>3.8647540151118482</v>
      </c>
      <c r="F809">
        <v>78.638400000000004</v>
      </c>
      <c r="G809">
        <f t="shared" si="48"/>
        <v>20.916186409654273</v>
      </c>
      <c r="H809">
        <f t="shared" si="49"/>
        <v>44.730949248979719</v>
      </c>
      <c r="I809">
        <f t="shared" si="50"/>
        <v>18.477335874803618</v>
      </c>
    </row>
    <row r="810" spans="1:9" x14ac:dyDescent="0.25">
      <c r="A810" t="s">
        <v>309</v>
      </c>
      <c r="B810" t="str">
        <f t="shared" si="51"/>
        <v>Twin1601.5130</v>
      </c>
      <c r="C810">
        <v>1.5</v>
      </c>
      <c r="D810">
        <v>130</v>
      </c>
      <c r="E810">
        <v>4.0228328112165643</v>
      </c>
      <c r="F810">
        <v>79.705200000000005</v>
      </c>
      <c r="G810">
        <f t="shared" si="48"/>
        <v>21.226645932079975</v>
      </c>
      <c r="H810">
        <f t="shared" si="49"/>
        <v>46.560564944636155</v>
      </c>
      <c r="I810">
        <f t="shared" si="50"/>
        <v>18.951806253746522</v>
      </c>
    </row>
    <row r="811" spans="1:9" x14ac:dyDescent="0.25">
      <c r="A811" t="s">
        <v>310</v>
      </c>
      <c r="B811" t="str">
        <f t="shared" si="51"/>
        <v>Twin202+0.7940</v>
      </c>
      <c r="C811">
        <v>0.79</v>
      </c>
      <c r="D811">
        <v>40</v>
      </c>
      <c r="E811">
        <v>0.59960922660409499</v>
      </c>
      <c r="F811">
        <v>34.8996</v>
      </c>
      <c r="G811">
        <f t="shared" si="48"/>
        <v>8.8030174670669581</v>
      </c>
      <c r="H811">
        <f t="shared" si="49"/>
        <v>6.9399216042140619</v>
      </c>
      <c r="I811">
        <f t="shared" si="50"/>
        <v>6.8114056213940053</v>
      </c>
    </row>
    <row r="812" spans="1:9" x14ac:dyDescent="0.25">
      <c r="A812" t="s">
        <v>310</v>
      </c>
      <c r="B812" t="str">
        <f t="shared" si="51"/>
        <v>Twin202+0.7950</v>
      </c>
      <c r="C812">
        <v>0.79</v>
      </c>
      <c r="D812">
        <v>50</v>
      </c>
      <c r="E812">
        <v>0.67047213520276072</v>
      </c>
      <c r="F812">
        <v>40.995600000000003</v>
      </c>
      <c r="G812">
        <f t="shared" si="48"/>
        <v>10.419173723121673</v>
      </c>
      <c r="H812">
        <f t="shared" si="49"/>
        <v>7.7600941574393598</v>
      </c>
      <c r="I812">
        <f t="shared" si="50"/>
        <v>6.4349837426636318</v>
      </c>
    </row>
    <row r="813" spans="1:9" x14ac:dyDescent="0.25">
      <c r="A813" t="s">
        <v>310</v>
      </c>
      <c r="B813" t="str">
        <f t="shared" si="51"/>
        <v>Twin202+0.7960</v>
      </c>
      <c r="C813">
        <v>0.79</v>
      </c>
      <c r="D813">
        <v>60</v>
      </c>
      <c r="E813">
        <v>0.73588405083229835</v>
      </c>
      <c r="F813">
        <v>44.805600000000005</v>
      </c>
      <c r="G813">
        <f t="shared" si="48"/>
        <v>11.441128338166763</v>
      </c>
      <c r="H813">
        <f t="shared" si="49"/>
        <v>8.5171765142627116</v>
      </c>
      <c r="I813">
        <f t="shared" si="50"/>
        <v>6.4319185056026615</v>
      </c>
    </row>
    <row r="814" spans="1:9" x14ac:dyDescent="0.25">
      <c r="A814" t="s">
        <v>310</v>
      </c>
      <c r="B814" t="str">
        <f t="shared" si="51"/>
        <v>Twin202+0.7970</v>
      </c>
      <c r="C814">
        <v>0.79</v>
      </c>
      <c r="D814">
        <v>70</v>
      </c>
      <c r="E814">
        <v>0.79584497349270789</v>
      </c>
      <c r="F814">
        <v>46.9392</v>
      </c>
      <c r="G814">
        <f t="shared" si="48"/>
        <v>12.017406859475663</v>
      </c>
      <c r="H814">
        <f t="shared" si="49"/>
        <v>9.211168674684119</v>
      </c>
      <c r="I814">
        <f t="shared" si="50"/>
        <v>6.6224351292990313</v>
      </c>
    </row>
    <row r="815" spans="1:9" x14ac:dyDescent="0.25">
      <c r="A815" t="s">
        <v>310</v>
      </c>
      <c r="B815" t="str">
        <f t="shared" si="51"/>
        <v>Twin202+0.7980</v>
      </c>
      <c r="C815">
        <v>0.79</v>
      </c>
      <c r="D815">
        <v>80</v>
      </c>
      <c r="E815">
        <v>0.85035490318398932</v>
      </c>
      <c r="F815">
        <v>48.920400000000001</v>
      </c>
      <c r="G815">
        <f t="shared" si="48"/>
        <v>12.55508373154484</v>
      </c>
      <c r="H815">
        <f t="shared" si="49"/>
        <v>9.8420706387035803</v>
      </c>
      <c r="I815">
        <f t="shared" si="50"/>
        <v>6.7729926885908345</v>
      </c>
    </row>
    <row r="816" spans="1:9" x14ac:dyDescent="0.25">
      <c r="A816" t="s">
        <v>310</v>
      </c>
      <c r="B816" t="str">
        <f t="shared" si="51"/>
        <v>Twin202+0.7990</v>
      </c>
      <c r="C816">
        <v>0.79</v>
      </c>
      <c r="D816">
        <v>90</v>
      </c>
      <c r="E816">
        <v>0.89941383990614254</v>
      </c>
      <c r="F816">
        <v>50.139600000000002</v>
      </c>
      <c r="G816">
        <f t="shared" si="48"/>
        <v>12.887187633397765</v>
      </c>
      <c r="H816">
        <f t="shared" si="49"/>
        <v>10.409882406321094</v>
      </c>
      <c r="I816">
        <f t="shared" si="50"/>
        <v>6.9791320301356405</v>
      </c>
    </row>
    <row r="817" spans="1:9" x14ac:dyDescent="0.25">
      <c r="A817" t="s">
        <v>310</v>
      </c>
      <c r="B817" t="str">
        <f t="shared" si="51"/>
        <v>Twin202+0.79100</v>
      </c>
      <c r="C817">
        <v>0.79</v>
      </c>
      <c r="D817">
        <v>100</v>
      </c>
      <c r="E817">
        <v>0.94847277662829566</v>
      </c>
      <c r="F817">
        <v>50.901600000000002</v>
      </c>
      <c r="G817">
        <f t="shared" si="48"/>
        <v>13.095226850256296</v>
      </c>
      <c r="H817">
        <f t="shared" si="49"/>
        <v>10.977694173938607</v>
      </c>
      <c r="I817">
        <f t="shared" si="50"/>
        <v>7.2428892410499364</v>
      </c>
    </row>
    <row r="818" spans="1:9" x14ac:dyDescent="0.25">
      <c r="A818" t="s">
        <v>310</v>
      </c>
      <c r="B818" t="str">
        <f t="shared" si="51"/>
        <v>Twin202+0.79110</v>
      </c>
      <c r="C818">
        <v>0.79</v>
      </c>
      <c r="D818">
        <v>110</v>
      </c>
      <c r="E818">
        <v>0.99208072038132078</v>
      </c>
      <c r="F818">
        <v>51.206400000000002</v>
      </c>
      <c r="G818">
        <f t="shared" si="48"/>
        <v>13.1785446892275</v>
      </c>
      <c r="H818">
        <f t="shared" si="49"/>
        <v>11.482415745154174</v>
      </c>
      <c r="I818">
        <f t="shared" si="50"/>
        <v>7.5279990604142686</v>
      </c>
    </row>
    <row r="819" spans="1:9" x14ac:dyDescent="0.25">
      <c r="A819" t="s">
        <v>310</v>
      </c>
      <c r="B819" t="str">
        <f t="shared" si="51"/>
        <v>Twin202+0.79120</v>
      </c>
      <c r="C819">
        <v>0.79</v>
      </c>
      <c r="D819">
        <v>120</v>
      </c>
      <c r="E819">
        <v>1.0411396571034741</v>
      </c>
      <c r="F819">
        <v>51.663600000000002</v>
      </c>
      <c r="G819">
        <f t="shared" si="48"/>
        <v>13.303630896499747</v>
      </c>
      <c r="H819">
        <f t="shared" si="49"/>
        <v>12.050227512771691</v>
      </c>
      <c r="I819">
        <f t="shared" si="50"/>
        <v>7.8259812317658577</v>
      </c>
    </row>
    <row r="820" spans="1:9" x14ac:dyDescent="0.25">
      <c r="A820" t="s">
        <v>310</v>
      </c>
      <c r="B820" t="str">
        <f t="shared" si="51"/>
        <v>Twin202+0.8740</v>
      </c>
      <c r="C820">
        <v>0.87</v>
      </c>
      <c r="D820">
        <v>40</v>
      </c>
      <c r="E820">
        <v>0.74133504380142656</v>
      </c>
      <c r="F820">
        <v>35.9664</v>
      </c>
      <c r="G820">
        <f t="shared" si="48"/>
        <v>9.0841593001180527</v>
      </c>
      <c r="H820">
        <f t="shared" si="49"/>
        <v>8.5802667106646595</v>
      </c>
      <c r="I820">
        <f t="shared" si="50"/>
        <v>8.1607446469129243</v>
      </c>
    </row>
    <row r="821" spans="1:9" x14ac:dyDescent="0.25">
      <c r="A821" t="s">
        <v>310</v>
      </c>
      <c r="B821" t="str">
        <f t="shared" si="51"/>
        <v>Twin202+0.8750</v>
      </c>
      <c r="C821">
        <v>0.87</v>
      </c>
      <c r="D821">
        <v>50</v>
      </c>
      <c r="E821">
        <v>0.8285509313074767</v>
      </c>
      <c r="F821">
        <v>42.672000000000004</v>
      </c>
      <c r="G821">
        <f t="shared" si="48"/>
        <v>10.867710079235856</v>
      </c>
      <c r="H821">
        <f t="shared" si="49"/>
        <v>9.589709853095794</v>
      </c>
      <c r="I821">
        <f t="shared" si="50"/>
        <v>7.6239697716129626</v>
      </c>
    </row>
    <row r="822" spans="1:9" x14ac:dyDescent="0.25">
      <c r="A822" t="s">
        <v>310</v>
      </c>
      <c r="B822" t="str">
        <f t="shared" si="51"/>
        <v>Twin202+0.8760</v>
      </c>
      <c r="C822">
        <v>0.87</v>
      </c>
      <c r="D822">
        <v>60</v>
      </c>
      <c r="E822">
        <v>0.90486483287527064</v>
      </c>
      <c r="F822">
        <v>47.244</v>
      </c>
      <c r="G822">
        <f t="shared" si="48"/>
        <v>12.099965853326161</v>
      </c>
      <c r="H822">
        <f t="shared" si="49"/>
        <v>10.47297260272304</v>
      </c>
      <c r="I822">
        <f t="shared" si="50"/>
        <v>7.4782428631939668</v>
      </c>
    </row>
    <row r="823" spans="1:9" x14ac:dyDescent="0.25">
      <c r="A823" t="s">
        <v>310</v>
      </c>
      <c r="B823" t="str">
        <f t="shared" si="51"/>
        <v>Twin202+0.8770</v>
      </c>
      <c r="C823">
        <v>0.87</v>
      </c>
      <c r="D823">
        <v>70</v>
      </c>
      <c r="E823">
        <v>0.98117873444306447</v>
      </c>
      <c r="F823">
        <v>49.834800000000001</v>
      </c>
      <c r="G823">
        <f t="shared" si="48"/>
        <v>12.804074098882147</v>
      </c>
      <c r="H823">
        <f t="shared" si="49"/>
        <v>11.356235352350282</v>
      </c>
      <c r="I823">
        <f t="shared" si="50"/>
        <v>7.6630198081150267</v>
      </c>
    </row>
    <row r="824" spans="1:9" x14ac:dyDescent="0.25">
      <c r="A824" t="s">
        <v>310</v>
      </c>
      <c r="B824" t="str">
        <f t="shared" si="51"/>
        <v>Twin202+0.8780</v>
      </c>
      <c r="C824">
        <v>0.87</v>
      </c>
      <c r="D824">
        <v>80</v>
      </c>
      <c r="E824">
        <v>1.0465906500726021</v>
      </c>
      <c r="F824">
        <v>51.511200000000002</v>
      </c>
      <c r="G824">
        <f t="shared" si="48"/>
        <v>13.261920900900286</v>
      </c>
      <c r="H824">
        <f t="shared" si="49"/>
        <v>12.113317709173634</v>
      </c>
      <c r="I824">
        <f t="shared" si="50"/>
        <v>7.8916972729158275</v>
      </c>
    </row>
    <row r="825" spans="1:9" x14ac:dyDescent="0.25">
      <c r="A825" t="s">
        <v>310</v>
      </c>
      <c r="B825" t="str">
        <f t="shared" si="51"/>
        <v>Twin202+0.8790</v>
      </c>
      <c r="C825">
        <v>0.87</v>
      </c>
      <c r="D825">
        <v>90</v>
      </c>
      <c r="E825">
        <v>1.1120025657021397</v>
      </c>
      <c r="F825">
        <v>52.730400000000003</v>
      </c>
      <c r="G825">
        <f t="shared" si="48"/>
        <v>13.596009474607342</v>
      </c>
      <c r="H825">
        <f t="shared" si="49"/>
        <v>12.870400065996987</v>
      </c>
      <c r="I825">
        <f t="shared" si="50"/>
        <v>8.1788893114481649</v>
      </c>
    </row>
    <row r="826" spans="1:9" x14ac:dyDescent="0.25">
      <c r="A826" t="s">
        <v>310</v>
      </c>
      <c r="B826" t="str">
        <f t="shared" si="51"/>
        <v>Twin202+0.87100</v>
      </c>
      <c r="C826">
        <v>0.87</v>
      </c>
      <c r="D826">
        <v>100</v>
      </c>
      <c r="E826">
        <v>1.1719634883625494</v>
      </c>
      <c r="F826">
        <v>53.34</v>
      </c>
      <c r="G826">
        <f t="shared" si="48"/>
        <v>13.763403997670423</v>
      </c>
      <c r="H826">
        <f t="shared" si="49"/>
        <v>13.564392226418395</v>
      </c>
      <c r="I826">
        <f t="shared" si="50"/>
        <v>8.5150700259973089</v>
      </c>
    </row>
    <row r="827" spans="1:9" x14ac:dyDescent="0.25">
      <c r="A827" t="s">
        <v>310</v>
      </c>
      <c r="B827" t="str">
        <f t="shared" si="51"/>
        <v>Twin202+0.87110</v>
      </c>
      <c r="C827">
        <v>0.87</v>
      </c>
      <c r="D827">
        <v>110</v>
      </c>
      <c r="E827">
        <v>1.2264734180538308</v>
      </c>
      <c r="F827">
        <v>53.644800000000004</v>
      </c>
      <c r="G827">
        <f t="shared" si="48"/>
        <v>13.847188818254352</v>
      </c>
      <c r="H827">
        <f t="shared" si="49"/>
        <v>14.195294190437856</v>
      </c>
      <c r="I827">
        <f t="shared" si="50"/>
        <v>8.8572015168667733</v>
      </c>
    </row>
    <row r="828" spans="1:9" x14ac:dyDescent="0.25">
      <c r="A828" t="s">
        <v>310</v>
      </c>
      <c r="B828" t="str">
        <f t="shared" si="51"/>
        <v>Twin202+0.87120</v>
      </c>
      <c r="C828">
        <v>0.87</v>
      </c>
      <c r="D828">
        <v>120</v>
      </c>
      <c r="E828">
        <v>1.280983347745112</v>
      </c>
      <c r="F828">
        <v>54.102000000000004</v>
      </c>
      <c r="G828">
        <f t="shared" si="48"/>
        <v>13.972975497945718</v>
      </c>
      <c r="H828">
        <f t="shared" si="49"/>
        <v>14.826196154457314</v>
      </c>
      <c r="I828">
        <f t="shared" si="50"/>
        <v>9.1675774278244457</v>
      </c>
    </row>
    <row r="829" spans="1:9" x14ac:dyDescent="0.25">
      <c r="A829" t="s">
        <v>310</v>
      </c>
      <c r="B829" t="str">
        <f t="shared" si="51"/>
        <v>Twin202+0.8940</v>
      </c>
      <c r="C829">
        <v>0.89</v>
      </c>
      <c r="D829">
        <v>40</v>
      </c>
      <c r="E829">
        <v>0.75768802270881097</v>
      </c>
      <c r="F829">
        <v>36.4236</v>
      </c>
      <c r="G829">
        <f t="shared" si="48"/>
        <v>9.204867554770928</v>
      </c>
      <c r="H829">
        <f t="shared" si="49"/>
        <v>8.7695372998704961</v>
      </c>
      <c r="I829">
        <f t="shared" si="50"/>
        <v>8.2313842996697701</v>
      </c>
    </row>
    <row r="830" spans="1:9" x14ac:dyDescent="0.25">
      <c r="A830" t="s">
        <v>310</v>
      </c>
      <c r="B830" t="str">
        <f t="shared" si="51"/>
        <v>Twin202+0.8950</v>
      </c>
      <c r="C830">
        <v>0.89</v>
      </c>
      <c r="D830">
        <v>50</v>
      </c>
      <c r="E830">
        <v>0.85035490318398932</v>
      </c>
      <c r="F830">
        <v>43.281600000000005</v>
      </c>
      <c r="G830">
        <f t="shared" si="48"/>
        <v>11.031252003993885</v>
      </c>
      <c r="H830">
        <f t="shared" si="49"/>
        <v>9.8420706387035803</v>
      </c>
      <c r="I830">
        <f t="shared" si="50"/>
        <v>7.708598288536213</v>
      </c>
    </row>
    <row r="831" spans="1:9" x14ac:dyDescent="0.25">
      <c r="A831" t="s">
        <v>310</v>
      </c>
      <c r="B831" t="str">
        <f t="shared" si="51"/>
        <v>Twin202+0.8960</v>
      </c>
      <c r="C831">
        <v>0.89</v>
      </c>
      <c r="D831">
        <v>60</v>
      </c>
      <c r="E831">
        <v>0.93211979772091136</v>
      </c>
      <c r="F831">
        <v>48.006</v>
      </c>
      <c r="G831">
        <f t="shared" si="48"/>
        <v>12.306618718521854</v>
      </c>
      <c r="H831">
        <f t="shared" si="49"/>
        <v>10.788423584732771</v>
      </c>
      <c r="I831">
        <f t="shared" si="50"/>
        <v>7.5741340415303613</v>
      </c>
    </row>
    <row r="832" spans="1:9" x14ac:dyDescent="0.25">
      <c r="A832" t="s">
        <v>310</v>
      </c>
      <c r="B832" t="str">
        <f t="shared" si="51"/>
        <v>Twin202+0.8970</v>
      </c>
      <c r="C832">
        <v>0.89</v>
      </c>
      <c r="D832">
        <v>70</v>
      </c>
      <c r="E832">
        <v>1.0029827063195771</v>
      </c>
      <c r="F832">
        <v>50.596800000000002</v>
      </c>
      <c r="G832">
        <f t="shared" si="48"/>
        <v>13.011967383986693</v>
      </c>
      <c r="H832">
        <f t="shared" si="49"/>
        <v>11.608596137958067</v>
      </c>
      <c r="I832">
        <f t="shared" si="50"/>
        <v>7.7081557055999674</v>
      </c>
    </row>
    <row r="833" spans="1:9" x14ac:dyDescent="0.25">
      <c r="A833" t="s">
        <v>310</v>
      </c>
      <c r="B833" t="str">
        <f t="shared" si="51"/>
        <v>Twin202+0.8980</v>
      </c>
      <c r="C833">
        <v>0.89</v>
      </c>
      <c r="D833">
        <v>80</v>
      </c>
      <c r="E833">
        <v>1.0738456149182429</v>
      </c>
      <c r="F833">
        <v>52.578000000000003</v>
      </c>
      <c r="G833">
        <f t="shared" si="48"/>
        <v>13.554197326780049</v>
      </c>
      <c r="H833">
        <f t="shared" si="49"/>
        <v>12.428768691183366</v>
      </c>
      <c r="I833">
        <f t="shared" si="50"/>
        <v>7.9226057362804161</v>
      </c>
    </row>
    <row r="834" spans="1:9" x14ac:dyDescent="0.25">
      <c r="A834" t="s">
        <v>310</v>
      </c>
      <c r="B834" t="str">
        <f t="shared" si="51"/>
        <v>Twin202+0.8990</v>
      </c>
      <c r="C834">
        <v>0.89</v>
      </c>
      <c r="D834">
        <v>90</v>
      </c>
      <c r="E834">
        <v>1.1392575305477806</v>
      </c>
      <c r="F834">
        <v>53.644800000000004</v>
      </c>
      <c r="G834">
        <f t="shared" si="48"/>
        <v>13.847188818254352</v>
      </c>
      <c r="H834">
        <f t="shared" si="49"/>
        <v>13.185851048006718</v>
      </c>
      <c r="I834">
        <f t="shared" si="50"/>
        <v>8.2273560756673589</v>
      </c>
    </row>
    <row r="835" spans="1:9" x14ac:dyDescent="0.25">
      <c r="A835" t="s">
        <v>310</v>
      </c>
      <c r="B835" t="str">
        <f t="shared" si="51"/>
        <v>Twin202+0.89100</v>
      </c>
      <c r="C835">
        <v>0.89</v>
      </c>
      <c r="D835">
        <v>100</v>
      </c>
      <c r="E835">
        <v>1.19921845320819</v>
      </c>
      <c r="F835">
        <v>54.406800000000004</v>
      </c>
      <c r="G835">
        <f t="shared" ref="G835:G898" si="52">(PI()*(G$1+F835)^2)/10000-((PI()*(G$1)^2)/10000)</f>
        <v>14.056906250283632</v>
      </c>
      <c r="H835">
        <f t="shared" ref="H835:H898" si="53">E835/0.0864</f>
        <v>13.879843208428124</v>
      </c>
      <c r="I835">
        <f t="shared" ref="I835:I898" si="54">E835/G835*100</f>
        <v>8.5311691766030879</v>
      </c>
    </row>
    <row r="836" spans="1:9" x14ac:dyDescent="0.25">
      <c r="A836" t="s">
        <v>310</v>
      </c>
      <c r="B836" t="str">
        <f t="shared" si="51"/>
        <v>Twin202+0.89110</v>
      </c>
      <c r="C836">
        <v>0.89</v>
      </c>
      <c r="D836">
        <v>110</v>
      </c>
      <c r="E836">
        <v>1.2591793758685996</v>
      </c>
      <c r="F836">
        <v>54.711600000000004</v>
      </c>
      <c r="G836">
        <f t="shared" si="52"/>
        <v>14.140895375323126</v>
      </c>
      <c r="H836">
        <f t="shared" si="53"/>
        <v>14.573835368849531</v>
      </c>
      <c r="I836">
        <f t="shared" si="54"/>
        <v>8.9045236701627655</v>
      </c>
    </row>
    <row r="837" spans="1:9" x14ac:dyDescent="0.25">
      <c r="A837" t="s">
        <v>310</v>
      </c>
      <c r="B837" t="str">
        <f t="shared" si="51"/>
        <v>Twin202+0.89120</v>
      </c>
      <c r="C837">
        <v>0.89</v>
      </c>
      <c r="D837">
        <v>120</v>
      </c>
      <c r="E837">
        <v>1.3136893055598808</v>
      </c>
      <c r="F837">
        <v>55.321200000000005</v>
      </c>
      <c r="G837">
        <f t="shared" si="52"/>
        <v>14.309048743506914</v>
      </c>
      <c r="H837">
        <f t="shared" si="53"/>
        <v>15.204737332868991</v>
      </c>
      <c r="I837">
        <f t="shared" si="54"/>
        <v>9.1808290621415356</v>
      </c>
    </row>
    <row r="838" spans="1:9" x14ac:dyDescent="0.25">
      <c r="A838" t="s">
        <v>310</v>
      </c>
      <c r="B838" t="str">
        <f t="shared" si="51"/>
        <v>Twin202+0.9140</v>
      </c>
      <c r="C838">
        <v>0.91</v>
      </c>
      <c r="D838">
        <v>40</v>
      </c>
      <c r="E838">
        <v>0.81219795240009229</v>
      </c>
      <c r="F838">
        <v>36.880800000000001</v>
      </c>
      <c r="G838">
        <f t="shared" si="52"/>
        <v>9.3257071480023868</v>
      </c>
      <c r="H838">
        <f t="shared" si="53"/>
        <v>9.4004392638899574</v>
      </c>
      <c r="I838">
        <f t="shared" si="54"/>
        <v>8.7092371603591392</v>
      </c>
    </row>
    <row r="839" spans="1:9" x14ac:dyDescent="0.25">
      <c r="A839" t="s">
        <v>310</v>
      </c>
      <c r="B839" t="str">
        <f t="shared" si="51"/>
        <v>Twin202+0.9150</v>
      </c>
      <c r="C839">
        <v>0.91</v>
      </c>
      <c r="D839">
        <v>50</v>
      </c>
      <c r="E839">
        <v>0.90486483287527064</v>
      </c>
      <c r="F839">
        <v>43.891200000000005</v>
      </c>
      <c r="G839">
        <f t="shared" si="52"/>
        <v>11.195027419558258</v>
      </c>
      <c r="H839">
        <f t="shared" si="53"/>
        <v>10.47297260272304</v>
      </c>
      <c r="I839">
        <f t="shared" si="54"/>
        <v>8.0827388711386963</v>
      </c>
    </row>
    <row r="840" spans="1:9" x14ac:dyDescent="0.25">
      <c r="A840" t="s">
        <v>310</v>
      </c>
      <c r="B840" t="str">
        <f t="shared" si="51"/>
        <v>Twin202+0.9160</v>
      </c>
      <c r="C840">
        <v>0.91</v>
      </c>
      <c r="D840">
        <v>60</v>
      </c>
      <c r="E840">
        <v>0.99208072038132078</v>
      </c>
      <c r="F840">
        <v>48.768000000000001</v>
      </c>
      <c r="G840">
        <f t="shared" si="52"/>
        <v>12.513636413102525</v>
      </c>
      <c r="H840">
        <f t="shared" si="53"/>
        <v>11.482415745154174</v>
      </c>
      <c r="I840">
        <f t="shared" si="54"/>
        <v>7.927997007668794</v>
      </c>
    </row>
    <row r="841" spans="1:9" x14ac:dyDescent="0.25">
      <c r="A841" t="s">
        <v>310</v>
      </c>
      <c r="B841" t="str">
        <f t="shared" si="51"/>
        <v>Twin202+0.9170</v>
      </c>
      <c r="C841">
        <v>0.91</v>
      </c>
      <c r="D841">
        <v>70</v>
      </c>
      <c r="E841">
        <v>1.0683946219491147</v>
      </c>
      <c r="F841">
        <v>51.206400000000002</v>
      </c>
      <c r="G841">
        <f t="shared" si="52"/>
        <v>13.1785446892275</v>
      </c>
      <c r="H841">
        <f t="shared" si="53"/>
        <v>12.36567849478142</v>
      </c>
      <c r="I841">
        <f t="shared" si="54"/>
        <v>8.1070759112153663</v>
      </c>
    </row>
    <row r="842" spans="1:9" x14ac:dyDescent="0.25">
      <c r="A842" t="s">
        <v>310</v>
      </c>
      <c r="B842" t="str">
        <f t="shared" si="51"/>
        <v>Twin202+0.9180</v>
      </c>
      <c r="C842">
        <v>0.91</v>
      </c>
      <c r="D842">
        <v>80</v>
      </c>
      <c r="E842">
        <v>1.1447085235169085</v>
      </c>
      <c r="F842">
        <v>53.34</v>
      </c>
      <c r="G842">
        <f t="shared" si="52"/>
        <v>13.763403997670423</v>
      </c>
      <c r="H842">
        <f t="shared" si="53"/>
        <v>13.248941244408662</v>
      </c>
      <c r="I842">
        <f t="shared" si="54"/>
        <v>8.3170451416717874</v>
      </c>
    </row>
    <row r="843" spans="1:9" x14ac:dyDescent="0.25">
      <c r="A843" t="s">
        <v>310</v>
      </c>
      <c r="B843" t="str">
        <f t="shared" si="51"/>
        <v>Twin202+0.9190</v>
      </c>
      <c r="C843">
        <v>0.91</v>
      </c>
      <c r="D843">
        <v>90</v>
      </c>
      <c r="E843">
        <v>1.2155714321155744</v>
      </c>
      <c r="F843">
        <v>54.559200000000004</v>
      </c>
      <c r="G843">
        <f t="shared" si="52"/>
        <v>14.098893516215703</v>
      </c>
      <c r="H843">
        <f t="shared" si="53"/>
        <v>14.069113797633962</v>
      </c>
      <c r="I843">
        <f t="shared" si="54"/>
        <v>8.6217505701245063</v>
      </c>
    </row>
    <row r="844" spans="1:9" x14ac:dyDescent="0.25">
      <c r="A844" t="s">
        <v>310</v>
      </c>
      <c r="B844" t="str">
        <f t="shared" si="51"/>
        <v>Twin202+0.91100</v>
      </c>
      <c r="C844">
        <v>0.91</v>
      </c>
      <c r="D844">
        <v>100</v>
      </c>
      <c r="E844">
        <v>1.280983347745112</v>
      </c>
      <c r="F844">
        <v>55.473600000000005</v>
      </c>
      <c r="G844">
        <f t="shared" si="52"/>
        <v>14.351123568491367</v>
      </c>
      <c r="H844">
        <f t="shared" si="53"/>
        <v>14.826196154457314</v>
      </c>
      <c r="I844">
        <f t="shared" si="54"/>
        <v>8.9260143404909211</v>
      </c>
    </row>
    <row r="845" spans="1:9" x14ac:dyDescent="0.25">
      <c r="A845" t="s">
        <v>310</v>
      </c>
      <c r="B845" t="str">
        <f t="shared" si="51"/>
        <v>Twin202+0.91110</v>
      </c>
      <c r="C845">
        <v>0.91</v>
      </c>
      <c r="D845">
        <v>110</v>
      </c>
      <c r="E845">
        <v>1.3409442704055214</v>
      </c>
      <c r="F845">
        <v>55.778400000000005</v>
      </c>
      <c r="G845">
        <f t="shared" si="52"/>
        <v>14.435316997986448</v>
      </c>
      <c r="H845">
        <f t="shared" si="53"/>
        <v>15.52018831487872</v>
      </c>
      <c r="I845">
        <f t="shared" si="54"/>
        <v>9.2893302626645955</v>
      </c>
    </row>
    <row r="846" spans="1:9" x14ac:dyDescent="0.25">
      <c r="A846" t="s">
        <v>310</v>
      </c>
      <c r="B846" t="str">
        <f t="shared" si="51"/>
        <v>Twin202+0.91120</v>
      </c>
      <c r="C846">
        <v>0.91</v>
      </c>
      <c r="D846">
        <v>120</v>
      </c>
      <c r="E846">
        <v>1.4009051930659309</v>
      </c>
      <c r="F846">
        <v>56.235600000000005</v>
      </c>
      <c r="G846">
        <f t="shared" si="52"/>
        <v>14.561716591044522</v>
      </c>
      <c r="H846">
        <f t="shared" si="53"/>
        <v>16.214180475300125</v>
      </c>
      <c r="I846">
        <f t="shared" si="54"/>
        <v>9.6204673693999077</v>
      </c>
    </row>
    <row r="847" spans="1:9" x14ac:dyDescent="0.25">
      <c r="A847" t="s">
        <v>310</v>
      </c>
      <c r="B847" t="str">
        <f t="shared" si="51"/>
        <v>Twin202+0.9440</v>
      </c>
      <c r="C847">
        <v>0.94</v>
      </c>
      <c r="D847">
        <v>40</v>
      </c>
      <c r="E847">
        <v>0.88306086099875813</v>
      </c>
      <c r="F847">
        <v>37.795200000000001</v>
      </c>
      <c r="G847">
        <f t="shared" si="52"/>
        <v>9.5677803502010477</v>
      </c>
      <c r="H847">
        <f t="shared" si="53"/>
        <v>10.220611817115255</v>
      </c>
      <c r="I847">
        <f t="shared" si="54"/>
        <v>9.2295268983699277</v>
      </c>
    </row>
    <row r="848" spans="1:9" x14ac:dyDescent="0.25">
      <c r="A848" t="s">
        <v>310</v>
      </c>
      <c r="B848" t="str">
        <f t="shared" si="51"/>
        <v>Twin202+0.9450</v>
      </c>
      <c r="C848">
        <v>0.94</v>
      </c>
      <c r="D848">
        <v>50</v>
      </c>
      <c r="E848">
        <v>0.98662972741219268</v>
      </c>
      <c r="F848">
        <v>44.958000000000006</v>
      </c>
      <c r="G848">
        <f t="shared" si="52"/>
        <v>11.482196234048736</v>
      </c>
      <c r="H848">
        <f t="shared" si="53"/>
        <v>11.41932554875223</v>
      </c>
      <c r="I848">
        <f t="shared" si="54"/>
        <v>8.5926917403352654</v>
      </c>
    </row>
    <row r="849" spans="1:9" x14ac:dyDescent="0.25">
      <c r="A849" t="s">
        <v>310</v>
      </c>
      <c r="B849" t="str">
        <f t="shared" si="51"/>
        <v>Twin202+0.9460</v>
      </c>
      <c r="C849">
        <v>0.94</v>
      </c>
      <c r="D849">
        <v>60</v>
      </c>
      <c r="E849">
        <v>1.0792966078873709</v>
      </c>
      <c r="F849">
        <v>49.834800000000001</v>
      </c>
      <c r="G849">
        <f t="shared" si="52"/>
        <v>12.804074098882147</v>
      </c>
      <c r="H849">
        <f t="shared" si="53"/>
        <v>12.491858887585311</v>
      </c>
      <c r="I849">
        <f t="shared" si="54"/>
        <v>8.4293217889265293</v>
      </c>
    </row>
    <row r="850" spans="1:9" x14ac:dyDescent="0.25">
      <c r="A850" t="s">
        <v>310</v>
      </c>
      <c r="B850" t="str">
        <f t="shared" si="51"/>
        <v>Twin202+0.9470</v>
      </c>
      <c r="C850">
        <v>0.94</v>
      </c>
      <c r="D850">
        <v>70</v>
      </c>
      <c r="E850">
        <v>1.1665124953934212</v>
      </c>
      <c r="F850">
        <v>52.273200000000003</v>
      </c>
      <c r="G850">
        <f t="shared" si="52"/>
        <v>13.470616810651691</v>
      </c>
      <c r="H850">
        <f t="shared" si="53"/>
        <v>13.501302030016449</v>
      </c>
      <c r="I850">
        <f t="shared" si="54"/>
        <v>8.6596813775522037</v>
      </c>
    </row>
    <row r="851" spans="1:9" x14ac:dyDescent="0.25">
      <c r="A851" t="s">
        <v>310</v>
      </c>
      <c r="B851" t="str">
        <f t="shared" si="51"/>
        <v>Twin202+0.9480</v>
      </c>
      <c r="C851">
        <v>0.94</v>
      </c>
      <c r="D851">
        <v>80</v>
      </c>
      <c r="E851">
        <v>1.2482773899303432</v>
      </c>
      <c r="F851">
        <v>54.406800000000004</v>
      </c>
      <c r="G851">
        <f t="shared" si="52"/>
        <v>14.056906250283632</v>
      </c>
      <c r="H851">
        <f t="shared" si="53"/>
        <v>14.447654976045639</v>
      </c>
      <c r="I851">
        <f t="shared" si="54"/>
        <v>8.8801715520095783</v>
      </c>
    </row>
    <row r="852" spans="1:9" x14ac:dyDescent="0.25">
      <c r="A852" t="s">
        <v>310</v>
      </c>
      <c r="B852" t="str">
        <f t="shared" si="51"/>
        <v>Twin202+0.9490</v>
      </c>
      <c r="C852">
        <v>0.94</v>
      </c>
      <c r="D852">
        <v>90</v>
      </c>
      <c r="E852">
        <v>1.3245912914981373</v>
      </c>
      <c r="F852">
        <v>55.778400000000005</v>
      </c>
      <c r="G852">
        <f t="shared" si="52"/>
        <v>14.435316997986448</v>
      </c>
      <c r="H852">
        <f t="shared" si="53"/>
        <v>15.330917725672885</v>
      </c>
      <c r="I852">
        <f t="shared" si="54"/>
        <v>9.1760457472662473</v>
      </c>
    </row>
    <row r="853" spans="1:9" x14ac:dyDescent="0.25">
      <c r="A853" t="s">
        <v>310</v>
      </c>
      <c r="B853" t="str">
        <f t="shared" si="51"/>
        <v>Twin202+0.94100</v>
      </c>
      <c r="C853">
        <v>0.94</v>
      </c>
      <c r="D853">
        <v>100</v>
      </c>
      <c r="E853">
        <v>1.3954542000968029</v>
      </c>
      <c r="F853">
        <v>56.692800000000005</v>
      </c>
      <c r="G853">
        <f t="shared" si="52"/>
        <v>14.688247522681216</v>
      </c>
      <c r="H853">
        <f t="shared" si="53"/>
        <v>16.151090278898181</v>
      </c>
      <c r="I853">
        <f t="shared" si="54"/>
        <v>9.5004812380917354</v>
      </c>
    </row>
    <row r="854" spans="1:9" x14ac:dyDescent="0.25">
      <c r="A854" t="s">
        <v>310</v>
      </c>
      <c r="B854" t="str">
        <f t="shared" si="51"/>
        <v>Twin202+0.94110</v>
      </c>
      <c r="C854">
        <v>0.94</v>
      </c>
      <c r="D854">
        <v>110</v>
      </c>
      <c r="E854">
        <v>1.4608661157263405</v>
      </c>
      <c r="F854">
        <v>56.997600000000006</v>
      </c>
      <c r="G854">
        <f t="shared" si="52"/>
        <v>14.772674442982655</v>
      </c>
      <c r="H854">
        <f t="shared" si="53"/>
        <v>16.908172635721535</v>
      </c>
      <c r="I854">
        <f t="shared" si="54"/>
        <v>9.8889752249314888</v>
      </c>
    </row>
    <row r="855" spans="1:9" x14ac:dyDescent="0.25">
      <c r="A855" t="s">
        <v>310</v>
      </c>
      <c r="B855" t="str">
        <f t="shared" si="51"/>
        <v>Twin202+0.94120</v>
      </c>
      <c r="C855">
        <v>0.94</v>
      </c>
      <c r="D855">
        <v>120</v>
      </c>
      <c r="E855">
        <v>1.5262780313558781</v>
      </c>
      <c r="F855">
        <v>57.454800000000006</v>
      </c>
      <c r="G855">
        <f t="shared" si="52"/>
        <v>14.899424272250286</v>
      </c>
      <c r="H855">
        <f t="shared" si="53"/>
        <v>17.665254992544885</v>
      </c>
      <c r="I855">
        <f t="shared" si="54"/>
        <v>10.243872538071981</v>
      </c>
    </row>
    <row r="856" spans="1:9" x14ac:dyDescent="0.25">
      <c r="A856" t="s">
        <v>310</v>
      </c>
      <c r="B856" t="str">
        <f t="shared" si="51"/>
        <v>Twin202+0.9840</v>
      </c>
      <c r="C856">
        <v>0.98</v>
      </c>
      <c r="D856">
        <v>40</v>
      </c>
      <c r="E856">
        <v>0.93757079069003935</v>
      </c>
      <c r="F856">
        <v>38.709600000000002</v>
      </c>
      <c r="G856">
        <f t="shared" si="52"/>
        <v>9.8103789067140283</v>
      </c>
      <c r="H856">
        <f t="shared" si="53"/>
        <v>10.851513781134715</v>
      </c>
      <c r="I856">
        <f t="shared" si="54"/>
        <v>9.5569274092806396</v>
      </c>
    </row>
    <row r="857" spans="1:9" x14ac:dyDescent="0.25">
      <c r="A857" t="s">
        <v>310</v>
      </c>
      <c r="B857" t="str">
        <f t="shared" si="51"/>
        <v>Twin202+0.9850</v>
      </c>
      <c r="C857">
        <v>0.98</v>
      </c>
      <c r="D857">
        <v>50</v>
      </c>
      <c r="E857">
        <v>1.0465906500726021</v>
      </c>
      <c r="F857">
        <v>46.024799999999999</v>
      </c>
      <c r="G857">
        <f t="shared" si="52"/>
        <v>11.770080114133719</v>
      </c>
      <c r="H857">
        <f t="shared" si="53"/>
        <v>12.113317709173634</v>
      </c>
      <c r="I857">
        <f t="shared" si="54"/>
        <v>8.8919585926678408</v>
      </c>
    </row>
    <row r="858" spans="1:9" x14ac:dyDescent="0.25">
      <c r="A858" t="s">
        <v>310</v>
      </c>
      <c r="B858" t="str">
        <f t="shared" si="51"/>
        <v>Twin202+0.9860</v>
      </c>
      <c r="C858">
        <v>0.98</v>
      </c>
      <c r="D858">
        <v>60</v>
      </c>
      <c r="E858">
        <v>1.1501595164860368</v>
      </c>
      <c r="F858">
        <v>50.901600000000002</v>
      </c>
      <c r="G858">
        <f t="shared" si="52"/>
        <v>13.095226850256296</v>
      </c>
      <c r="H858">
        <f t="shared" si="53"/>
        <v>13.31203144081061</v>
      </c>
      <c r="I858">
        <f t="shared" si="54"/>
        <v>8.7830438497789451</v>
      </c>
    </row>
    <row r="859" spans="1:9" x14ac:dyDescent="0.25">
      <c r="A859" t="s">
        <v>310</v>
      </c>
      <c r="B859" t="str">
        <f t="shared" si="51"/>
        <v>Twin202+0.9870</v>
      </c>
      <c r="C859">
        <v>0.98</v>
      </c>
      <c r="D859">
        <v>70</v>
      </c>
      <c r="E859">
        <v>1.237375403992087</v>
      </c>
      <c r="F859">
        <v>53.34</v>
      </c>
      <c r="G859">
        <f t="shared" si="52"/>
        <v>13.763403997670423</v>
      </c>
      <c r="H859">
        <f t="shared" si="53"/>
        <v>14.321474583241747</v>
      </c>
      <c r="I859">
        <f t="shared" si="54"/>
        <v>8.9903297483785529</v>
      </c>
    </row>
    <row r="860" spans="1:9" x14ac:dyDescent="0.25">
      <c r="A860" t="s">
        <v>310</v>
      </c>
      <c r="B860" t="str">
        <f t="shared" si="51"/>
        <v>Twin202+0.9880</v>
      </c>
      <c r="C860">
        <v>0.98</v>
      </c>
      <c r="D860">
        <v>80</v>
      </c>
      <c r="E860">
        <v>1.3245912914981373</v>
      </c>
      <c r="F860">
        <v>55.473600000000005</v>
      </c>
      <c r="G860">
        <f t="shared" si="52"/>
        <v>14.351123568491367</v>
      </c>
      <c r="H860">
        <f t="shared" si="53"/>
        <v>15.330917725672885</v>
      </c>
      <c r="I860">
        <f t="shared" si="54"/>
        <v>9.2298786584650827</v>
      </c>
    </row>
    <row r="861" spans="1:9" x14ac:dyDescent="0.25">
      <c r="A861" t="s">
        <v>310</v>
      </c>
      <c r="B861" t="str">
        <f t="shared" si="51"/>
        <v>Twin202+0.9890</v>
      </c>
      <c r="C861">
        <v>0.98</v>
      </c>
      <c r="D861">
        <v>90</v>
      </c>
      <c r="E861">
        <v>1.4063561860350591</v>
      </c>
      <c r="F861">
        <v>56.997600000000006</v>
      </c>
      <c r="G861">
        <f t="shared" si="52"/>
        <v>14.772674442982655</v>
      </c>
      <c r="H861">
        <f t="shared" si="53"/>
        <v>16.277270671702073</v>
      </c>
      <c r="I861">
        <f t="shared" si="54"/>
        <v>9.5199836120609103</v>
      </c>
    </row>
    <row r="862" spans="1:9" x14ac:dyDescent="0.25">
      <c r="A862" t="s">
        <v>310</v>
      </c>
      <c r="B862" t="str">
        <f t="shared" si="51"/>
        <v>Twin202+0.98100</v>
      </c>
      <c r="C862">
        <v>0.98</v>
      </c>
      <c r="D862">
        <v>100</v>
      </c>
      <c r="E862">
        <v>1.4826700876028531</v>
      </c>
      <c r="F862">
        <v>57.759600000000006</v>
      </c>
      <c r="G862">
        <f t="shared" si="52"/>
        <v>14.983997124305716</v>
      </c>
      <c r="H862">
        <f t="shared" si="53"/>
        <v>17.160533421329319</v>
      </c>
      <c r="I862">
        <f t="shared" si="54"/>
        <v>9.8950238397856918</v>
      </c>
    </row>
    <row r="863" spans="1:9" x14ac:dyDescent="0.25">
      <c r="A863" t="s">
        <v>310</v>
      </c>
      <c r="B863" t="str">
        <f t="shared" si="51"/>
        <v>Twin202+0.98110</v>
      </c>
      <c r="C863">
        <v>0.98</v>
      </c>
      <c r="D863">
        <v>110</v>
      </c>
      <c r="E863">
        <v>1.5535329962015187</v>
      </c>
      <c r="F863">
        <v>58.216800000000006</v>
      </c>
      <c r="G863">
        <f t="shared" si="52"/>
        <v>15.110965851204348</v>
      </c>
      <c r="H863">
        <f t="shared" si="53"/>
        <v>17.980705974554613</v>
      </c>
      <c r="I863">
        <f t="shared" si="54"/>
        <v>10.280831890555174</v>
      </c>
    </row>
    <row r="864" spans="1:9" x14ac:dyDescent="0.25">
      <c r="A864" t="s">
        <v>310</v>
      </c>
      <c r="B864" t="str">
        <f t="shared" si="51"/>
        <v>Twin202+0.98120</v>
      </c>
      <c r="C864">
        <v>0.98</v>
      </c>
      <c r="D864">
        <v>120</v>
      </c>
      <c r="E864">
        <v>1.6243959048001846</v>
      </c>
      <c r="F864">
        <v>58.673999999999999</v>
      </c>
      <c r="G864">
        <f t="shared" si="52"/>
        <v>15.238065916681528</v>
      </c>
      <c r="H864">
        <f t="shared" si="53"/>
        <v>18.800878527779915</v>
      </c>
      <c r="I864">
        <f t="shared" si="54"/>
        <v>10.660118637640975</v>
      </c>
    </row>
    <row r="865" spans="1:9" x14ac:dyDescent="0.25">
      <c r="A865" t="s">
        <v>310</v>
      </c>
      <c r="B865" t="str">
        <f t="shared" si="51"/>
        <v>Twin202+1.0240</v>
      </c>
      <c r="C865">
        <v>1.02</v>
      </c>
      <c r="D865">
        <v>40</v>
      </c>
      <c r="E865">
        <v>1.0356886641343459</v>
      </c>
      <c r="F865">
        <v>39.471600000000002</v>
      </c>
      <c r="G865">
        <f t="shared" si="52"/>
        <v>10.012945682798296</v>
      </c>
      <c r="H865">
        <f t="shared" si="53"/>
        <v>11.987137316369743</v>
      </c>
      <c r="I865">
        <f t="shared" si="54"/>
        <v>10.343496279157925</v>
      </c>
    </row>
    <row r="866" spans="1:9" x14ac:dyDescent="0.25">
      <c r="A866" t="s">
        <v>310</v>
      </c>
      <c r="B866" t="str">
        <f t="shared" si="51"/>
        <v>Twin202+1.0250</v>
      </c>
      <c r="C866">
        <v>1.02</v>
      </c>
      <c r="D866">
        <v>50</v>
      </c>
      <c r="E866">
        <v>1.155610509455165</v>
      </c>
      <c r="F866">
        <v>46.786799999999999</v>
      </c>
      <c r="G866">
        <f t="shared" si="52"/>
        <v>11.976149252313498</v>
      </c>
      <c r="H866">
        <f t="shared" si="53"/>
        <v>13.375121637212557</v>
      </c>
      <c r="I866">
        <f t="shared" si="54"/>
        <v>9.6492660963784278</v>
      </c>
    </row>
    <row r="867" spans="1:9" x14ac:dyDescent="0.25">
      <c r="A867" t="s">
        <v>310</v>
      </c>
      <c r="B867" t="str">
        <f t="shared" si="51"/>
        <v>Twin202+1.0260</v>
      </c>
      <c r="C867">
        <v>1.02</v>
      </c>
      <c r="D867">
        <v>60</v>
      </c>
      <c r="E867">
        <v>1.2646303688377276</v>
      </c>
      <c r="F867">
        <v>51.816000000000003</v>
      </c>
      <c r="G867">
        <f t="shared" si="52"/>
        <v>13.345355485274659</v>
      </c>
      <c r="H867">
        <f t="shared" si="53"/>
        <v>14.636925565251476</v>
      </c>
      <c r="I867">
        <f t="shared" si="54"/>
        <v>9.4761834574817279</v>
      </c>
    </row>
    <row r="868" spans="1:9" x14ac:dyDescent="0.25">
      <c r="A868" t="s">
        <v>310</v>
      </c>
      <c r="B868" t="str">
        <f t="shared" si="51"/>
        <v>Twin202+1.0270</v>
      </c>
      <c r="C868">
        <v>1.02</v>
      </c>
      <c r="D868">
        <v>70</v>
      </c>
      <c r="E868">
        <v>1.368199235251162</v>
      </c>
      <c r="F868">
        <v>54.559200000000004</v>
      </c>
      <c r="G868">
        <f t="shared" si="52"/>
        <v>14.098893516215703</v>
      </c>
      <c r="H868">
        <f t="shared" si="53"/>
        <v>15.835639296888449</v>
      </c>
      <c r="I868">
        <f t="shared" si="54"/>
        <v>9.7043022112163708</v>
      </c>
    </row>
    <row r="869" spans="1:9" x14ac:dyDescent="0.25">
      <c r="A869" t="s">
        <v>310</v>
      </c>
      <c r="B869" t="str">
        <f t="shared" si="51"/>
        <v>Twin202+1.0280</v>
      </c>
      <c r="C869">
        <v>1.02</v>
      </c>
      <c r="D869">
        <v>80</v>
      </c>
      <c r="E869">
        <v>1.4608661157263405</v>
      </c>
      <c r="F869">
        <v>56.692800000000005</v>
      </c>
      <c r="G869">
        <f t="shared" si="52"/>
        <v>14.688247522681216</v>
      </c>
      <c r="H869">
        <f t="shared" si="53"/>
        <v>16.908172635721535</v>
      </c>
      <c r="I869">
        <f t="shared" si="54"/>
        <v>9.9458162961272834</v>
      </c>
    </row>
    <row r="870" spans="1:9" x14ac:dyDescent="0.25">
      <c r="A870" t="s">
        <v>310</v>
      </c>
      <c r="B870" t="str">
        <f t="shared" ref="B870:B933" si="55">A870&amp;C870&amp;D870</f>
        <v>Twin202+1.0290</v>
      </c>
      <c r="C870">
        <v>1.02</v>
      </c>
      <c r="D870">
        <v>90</v>
      </c>
      <c r="E870">
        <v>1.5535329962015187</v>
      </c>
      <c r="F870">
        <v>58.216800000000006</v>
      </c>
      <c r="G870">
        <f t="shared" si="52"/>
        <v>15.110965851204348</v>
      </c>
      <c r="H870">
        <f t="shared" si="53"/>
        <v>17.980705974554613</v>
      </c>
      <c r="I870">
        <f t="shared" si="54"/>
        <v>10.280831890555174</v>
      </c>
    </row>
    <row r="871" spans="1:9" x14ac:dyDescent="0.25">
      <c r="A871" t="s">
        <v>310</v>
      </c>
      <c r="B871" t="str">
        <f t="shared" si="55"/>
        <v>Twin202+1.02100</v>
      </c>
      <c r="C871">
        <v>1.02</v>
      </c>
      <c r="D871">
        <v>100</v>
      </c>
      <c r="E871">
        <v>1.635297890738441</v>
      </c>
      <c r="F871">
        <v>58.9788</v>
      </c>
      <c r="G871">
        <f t="shared" si="52"/>
        <v>15.322872259543317</v>
      </c>
      <c r="H871">
        <f t="shared" si="53"/>
        <v>18.927058920583807</v>
      </c>
      <c r="I871">
        <f t="shared" si="54"/>
        <v>10.672267333690998</v>
      </c>
    </row>
    <row r="872" spans="1:9" x14ac:dyDescent="0.25">
      <c r="A872" t="s">
        <v>310</v>
      </c>
      <c r="B872" t="str">
        <f t="shared" si="55"/>
        <v>Twin202+1.02110</v>
      </c>
      <c r="C872">
        <v>1.02</v>
      </c>
      <c r="D872">
        <v>110</v>
      </c>
      <c r="E872">
        <v>1.717062785275363</v>
      </c>
      <c r="F872">
        <v>59.5884</v>
      </c>
      <c r="G872">
        <f t="shared" si="52"/>
        <v>15.492660063371673</v>
      </c>
      <c r="H872">
        <f t="shared" si="53"/>
        <v>19.873411866612997</v>
      </c>
      <c r="I872">
        <f t="shared" si="54"/>
        <v>11.083072747041724</v>
      </c>
    </row>
    <row r="873" spans="1:9" x14ac:dyDescent="0.25">
      <c r="A873" t="s">
        <v>310</v>
      </c>
      <c r="B873" t="str">
        <f t="shared" si="55"/>
        <v>Twin202+1.02120</v>
      </c>
      <c r="C873">
        <v>1.02</v>
      </c>
      <c r="D873">
        <v>120</v>
      </c>
      <c r="E873">
        <v>1.7933766868431569</v>
      </c>
      <c r="F873">
        <v>59.8932</v>
      </c>
      <c r="G873">
        <f t="shared" si="52"/>
        <v>15.577641524338254</v>
      </c>
      <c r="H873">
        <f t="shared" si="53"/>
        <v>20.75667461624024</v>
      </c>
      <c r="I873">
        <f t="shared" si="54"/>
        <v>11.512504534407306</v>
      </c>
    </row>
    <row r="874" spans="1:9" x14ac:dyDescent="0.25">
      <c r="A874" t="s">
        <v>310</v>
      </c>
      <c r="B874" t="str">
        <f t="shared" si="55"/>
        <v>Twin202+1.0640</v>
      </c>
      <c r="C874">
        <v>1.06</v>
      </c>
      <c r="D874">
        <v>40</v>
      </c>
      <c r="E874">
        <v>1.1174535586712679</v>
      </c>
      <c r="F874">
        <v>40.233600000000003</v>
      </c>
      <c r="G874">
        <f t="shared" si="52"/>
        <v>10.215877288267514</v>
      </c>
      <c r="H874">
        <f t="shared" si="53"/>
        <v>12.933490262398934</v>
      </c>
      <c r="I874">
        <f t="shared" si="54"/>
        <v>10.938400365816985</v>
      </c>
    </row>
    <row r="875" spans="1:9" x14ac:dyDescent="0.25">
      <c r="A875" t="s">
        <v>310</v>
      </c>
      <c r="B875" t="str">
        <f t="shared" si="55"/>
        <v>Twin202+1.0650</v>
      </c>
      <c r="C875">
        <v>1.06</v>
      </c>
      <c r="D875">
        <v>50</v>
      </c>
      <c r="E875">
        <v>1.2482773899303432</v>
      </c>
      <c r="F875">
        <v>47.5488</v>
      </c>
      <c r="G875">
        <f t="shared" si="52"/>
        <v>12.182583219878246</v>
      </c>
      <c r="H875">
        <f t="shared" si="53"/>
        <v>14.447654976045639</v>
      </c>
      <c r="I875">
        <f t="shared" si="54"/>
        <v>10.246409709670907</v>
      </c>
    </row>
    <row r="876" spans="1:9" x14ac:dyDescent="0.25">
      <c r="A876" t="s">
        <v>310</v>
      </c>
      <c r="B876" t="str">
        <f t="shared" si="55"/>
        <v>Twin202+1.0660</v>
      </c>
      <c r="C876">
        <v>1.06</v>
      </c>
      <c r="D876">
        <v>60</v>
      </c>
      <c r="E876">
        <v>1.368199235251162</v>
      </c>
      <c r="F876">
        <v>52.578000000000003</v>
      </c>
      <c r="G876">
        <f t="shared" si="52"/>
        <v>13.554197326780049</v>
      </c>
      <c r="H876">
        <f t="shared" si="53"/>
        <v>15.835639296888449</v>
      </c>
      <c r="I876">
        <f t="shared" si="54"/>
        <v>10.094284466022254</v>
      </c>
    </row>
    <row r="877" spans="1:9" x14ac:dyDescent="0.25">
      <c r="A877" t="s">
        <v>310</v>
      </c>
      <c r="B877" t="str">
        <f t="shared" si="55"/>
        <v>Twin202+1.0670</v>
      </c>
      <c r="C877">
        <v>1.06</v>
      </c>
      <c r="D877">
        <v>70</v>
      </c>
      <c r="E877">
        <v>1.4772190946337249</v>
      </c>
      <c r="F877">
        <v>55.778400000000005</v>
      </c>
      <c r="G877">
        <f t="shared" si="52"/>
        <v>14.435316997986448</v>
      </c>
      <c r="H877">
        <f t="shared" si="53"/>
        <v>17.097443224927371</v>
      </c>
      <c r="I877">
        <f t="shared" si="54"/>
        <v>10.233367890984169</v>
      </c>
    </row>
    <row r="878" spans="1:9" x14ac:dyDescent="0.25">
      <c r="A878" t="s">
        <v>310</v>
      </c>
      <c r="B878" t="str">
        <f t="shared" si="55"/>
        <v>Twin202+1.0680</v>
      </c>
      <c r="C878">
        <v>1.06</v>
      </c>
      <c r="D878">
        <v>80</v>
      </c>
      <c r="E878">
        <v>1.5753369680780314</v>
      </c>
      <c r="F878">
        <v>57.759600000000006</v>
      </c>
      <c r="G878">
        <f t="shared" si="52"/>
        <v>14.983997124305716</v>
      </c>
      <c r="H878">
        <f t="shared" si="53"/>
        <v>18.233066760162398</v>
      </c>
      <c r="I878">
        <f t="shared" si="54"/>
        <v>10.513462829772296</v>
      </c>
    </row>
    <row r="879" spans="1:9" x14ac:dyDescent="0.25">
      <c r="A879" t="s">
        <v>310</v>
      </c>
      <c r="B879" t="str">
        <f t="shared" si="55"/>
        <v>Twin202+1.0690</v>
      </c>
      <c r="C879">
        <v>1.06</v>
      </c>
      <c r="D879">
        <v>90</v>
      </c>
      <c r="E879">
        <v>1.6734548415223378</v>
      </c>
      <c r="F879">
        <v>59.436</v>
      </c>
      <c r="G879">
        <f t="shared" si="52"/>
        <v>15.450191222651497</v>
      </c>
      <c r="H879">
        <f t="shared" si="53"/>
        <v>19.368690295397428</v>
      </c>
      <c r="I879">
        <f t="shared" si="54"/>
        <v>10.831288865013455</v>
      </c>
    </row>
    <row r="880" spans="1:9" x14ac:dyDescent="0.25">
      <c r="A880" t="s">
        <v>310</v>
      </c>
      <c r="B880" t="str">
        <f t="shared" si="55"/>
        <v>Twin202+1.06100</v>
      </c>
      <c r="C880">
        <v>1.06</v>
      </c>
      <c r="D880">
        <v>100</v>
      </c>
      <c r="E880">
        <v>1.7661217219975163</v>
      </c>
      <c r="F880">
        <v>60.198</v>
      </c>
      <c r="G880">
        <f t="shared" si="52"/>
        <v>15.662681358006409</v>
      </c>
      <c r="H880">
        <f t="shared" si="53"/>
        <v>20.441223634230511</v>
      </c>
      <c r="I880">
        <f t="shared" si="54"/>
        <v>11.275985775543564</v>
      </c>
    </row>
    <row r="881" spans="1:9" x14ac:dyDescent="0.25">
      <c r="A881" t="s">
        <v>310</v>
      </c>
      <c r="B881" t="str">
        <f t="shared" si="55"/>
        <v>Twin202+1.06110</v>
      </c>
      <c r="C881">
        <v>1.06</v>
      </c>
      <c r="D881">
        <v>110</v>
      </c>
      <c r="E881">
        <v>1.8478866165344383</v>
      </c>
      <c r="F881">
        <v>60.807600000000001</v>
      </c>
      <c r="G881">
        <f t="shared" si="52"/>
        <v>15.832936143447505</v>
      </c>
      <c r="H881">
        <f t="shared" si="53"/>
        <v>21.387576580259701</v>
      </c>
      <c r="I881">
        <f t="shared" si="54"/>
        <v>11.671155620110236</v>
      </c>
    </row>
    <row r="882" spans="1:9" x14ac:dyDescent="0.25">
      <c r="A882" t="s">
        <v>310</v>
      </c>
      <c r="B882" t="str">
        <f t="shared" si="55"/>
        <v>Twin202+1.06120</v>
      </c>
      <c r="C882">
        <v>1.06</v>
      </c>
      <c r="D882">
        <v>120</v>
      </c>
      <c r="E882">
        <v>1.9296515110713601</v>
      </c>
      <c r="F882">
        <v>61.112400000000001</v>
      </c>
      <c r="G882">
        <f t="shared" si="52"/>
        <v>15.918151095220431</v>
      </c>
      <c r="H882">
        <f t="shared" si="53"/>
        <v>22.333929526288888</v>
      </c>
      <c r="I882">
        <f t="shared" si="54"/>
        <v>12.122334431482784</v>
      </c>
    </row>
    <row r="883" spans="1:9" x14ac:dyDescent="0.25">
      <c r="A883" t="s">
        <v>310</v>
      </c>
      <c r="B883" t="str">
        <f t="shared" si="55"/>
        <v>Twin202+1.0840</v>
      </c>
      <c r="C883">
        <v>1.08</v>
      </c>
      <c r="D883">
        <v>40</v>
      </c>
      <c r="E883">
        <v>1.1338065375786524</v>
      </c>
      <c r="F883">
        <v>40.843200000000003</v>
      </c>
      <c r="G883">
        <f t="shared" si="52"/>
        <v>10.378485249800043</v>
      </c>
      <c r="H883">
        <f t="shared" si="53"/>
        <v>13.122760851604772</v>
      </c>
      <c r="I883">
        <f t="shared" si="54"/>
        <v>10.92458591296352</v>
      </c>
    </row>
    <row r="884" spans="1:9" x14ac:dyDescent="0.25">
      <c r="A884" t="s">
        <v>310</v>
      </c>
      <c r="B884" t="str">
        <f t="shared" si="55"/>
        <v>Twin202+1.0850</v>
      </c>
      <c r="C884">
        <v>1.08</v>
      </c>
      <c r="D884">
        <v>50</v>
      </c>
      <c r="E884">
        <v>1.2700813618068558</v>
      </c>
      <c r="F884">
        <v>48.3108</v>
      </c>
      <c r="G884">
        <f t="shared" si="52"/>
        <v>12.389382016827916</v>
      </c>
      <c r="H884">
        <f t="shared" si="53"/>
        <v>14.700015761653423</v>
      </c>
      <c r="I884">
        <f t="shared" si="54"/>
        <v>10.25136976228325</v>
      </c>
    </row>
    <row r="885" spans="1:9" x14ac:dyDescent="0.25">
      <c r="A885" t="s">
        <v>310</v>
      </c>
      <c r="B885" t="str">
        <f t="shared" si="55"/>
        <v>Twin202+1.0860</v>
      </c>
      <c r="C885">
        <v>1.08</v>
      </c>
      <c r="D885">
        <v>60</v>
      </c>
      <c r="E885">
        <v>1.3900032071276747</v>
      </c>
      <c r="F885">
        <v>53.34</v>
      </c>
      <c r="G885">
        <f t="shared" si="52"/>
        <v>13.763403997670423</v>
      </c>
      <c r="H885">
        <f t="shared" si="53"/>
        <v>16.088000082496233</v>
      </c>
      <c r="I885">
        <f t="shared" si="54"/>
        <v>10.099269100601457</v>
      </c>
    </row>
    <row r="886" spans="1:9" x14ac:dyDescent="0.25">
      <c r="A886" t="s">
        <v>310</v>
      </c>
      <c r="B886" t="str">
        <f t="shared" si="55"/>
        <v>Twin202+1.0870</v>
      </c>
      <c r="C886">
        <v>1.08</v>
      </c>
      <c r="D886">
        <v>70</v>
      </c>
      <c r="E886">
        <v>1.4990230665102375</v>
      </c>
      <c r="F886">
        <v>56.540400000000005</v>
      </c>
      <c r="G886">
        <f t="shared" si="52"/>
        <v>14.646055952293572</v>
      </c>
      <c r="H886">
        <f t="shared" si="53"/>
        <v>17.349804010535156</v>
      </c>
      <c r="I886">
        <f t="shared" si="54"/>
        <v>10.234994809476271</v>
      </c>
    </row>
    <row r="887" spans="1:9" x14ac:dyDescent="0.25">
      <c r="A887" t="s">
        <v>310</v>
      </c>
      <c r="B887" t="str">
        <f t="shared" si="55"/>
        <v>Twin202+1.0880</v>
      </c>
      <c r="C887">
        <v>1.08</v>
      </c>
      <c r="D887">
        <v>80</v>
      </c>
      <c r="E887">
        <v>1.602591932923672</v>
      </c>
      <c r="F887">
        <v>58.521600000000007</v>
      </c>
      <c r="G887">
        <f t="shared" si="52"/>
        <v>15.195684635013748</v>
      </c>
      <c r="H887">
        <f t="shared" si="53"/>
        <v>18.548517742172127</v>
      </c>
      <c r="I887">
        <f t="shared" si="54"/>
        <v>10.54636215094248</v>
      </c>
    </row>
    <row r="888" spans="1:9" x14ac:dyDescent="0.25">
      <c r="A888" t="s">
        <v>310</v>
      </c>
      <c r="B888" t="str">
        <f t="shared" si="55"/>
        <v>Twin202+1.0890</v>
      </c>
      <c r="C888">
        <v>1.08</v>
      </c>
      <c r="D888">
        <v>90</v>
      </c>
      <c r="E888">
        <v>1.7007098063679786</v>
      </c>
      <c r="F888">
        <v>60.198</v>
      </c>
      <c r="G888">
        <f t="shared" si="52"/>
        <v>15.662681358006409</v>
      </c>
      <c r="H888">
        <f t="shared" si="53"/>
        <v>19.684141277407161</v>
      </c>
      <c r="I888">
        <f t="shared" si="54"/>
        <v>10.858356672745655</v>
      </c>
    </row>
    <row r="889" spans="1:9" x14ac:dyDescent="0.25">
      <c r="A889" t="s">
        <v>310</v>
      </c>
      <c r="B889" t="str">
        <f t="shared" si="55"/>
        <v>Twin202+1.08100</v>
      </c>
      <c r="C889">
        <v>1.08</v>
      </c>
      <c r="D889">
        <v>100</v>
      </c>
      <c r="E889">
        <v>1.7933766868431569</v>
      </c>
      <c r="F889">
        <v>61.112400000000001</v>
      </c>
      <c r="G889">
        <f t="shared" si="52"/>
        <v>15.918151095220431</v>
      </c>
      <c r="H889">
        <f t="shared" si="53"/>
        <v>20.75667461624024</v>
      </c>
      <c r="I889">
        <f t="shared" si="54"/>
        <v>11.266237367112533</v>
      </c>
    </row>
    <row r="890" spans="1:9" x14ac:dyDescent="0.25">
      <c r="A890" t="s">
        <v>310</v>
      </c>
      <c r="B890" t="str">
        <f t="shared" si="55"/>
        <v>Twin202+1.08110</v>
      </c>
      <c r="C890">
        <v>1.08</v>
      </c>
      <c r="D890">
        <v>110</v>
      </c>
      <c r="E890">
        <v>1.8805925743492069</v>
      </c>
      <c r="F890">
        <v>61.569600000000001</v>
      </c>
      <c r="G890">
        <f t="shared" si="52"/>
        <v>16.04608297169532</v>
      </c>
      <c r="H890">
        <f t="shared" si="53"/>
        <v>21.766117758671374</v>
      </c>
      <c r="I890">
        <f t="shared" si="54"/>
        <v>11.719947962792544</v>
      </c>
    </row>
    <row r="891" spans="1:9" x14ac:dyDescent="0.25">
      <c r="A891" t="s">
        <v>310</v>
      </c>
      <c r="B891" t="str">
        <f t="shared" si="55"/>
        <v>Twin202+1.08120</v>
      </c>
      <c r="C891">
        <v>1.08</v>
      </c>
      <c r="D891">
        <v>120</v>
      </c>
      <c r="E891">
        <v>1.9623574688861289</v>
      </c>
      <c r="F891">
        <v>62.026800000000001</v>
      </c>
      <c r="G891">
        <f t="shared" si="52"/>
        <v>16.174146186748786</v>
      </c>
      <c r="H891">
        <f t="shared" si="53"/>
        <v>22.712470704700564</v>
      </c>
      <c r="I891">
        <f t="shared" si="54"/>
        <v>12.132680428558611</v>
      </c>
    </row>
    <row r="892" spans="1:9" x14ac:dyDescent="0.25">
      <c r="A892" t="s">
        <v>310</v>
      </c>
      <c r="B892" t="str">
        <f t="shared" si="55"/>
        <v>Twin202+1.140</v>
      </c>
      <c r="C892">
        <v>1.1000000000000001</v>
      </c>
      <c r="D892">
        <v>40</v>
      </c>
      <c r="E892">
        <v>1.19921845320819</v>
      </c>
      <c r="F892">
        <v>41.300400000000003</v>
      </c>
      <c r="G892">
        <f t="shared" si="52"/>
        <v>10.500594449291128</v>
      </c>
      <c r="H892">
        <f t="shared" si="53"/>
        <v>13.879843208428124</v>
      </c>
      <c r="I892">
        <f t="shared" si="54"/>
        <v>11.420481564157033</v>
      </c>
    </row>
    <row r="893" spans="1:9" x14ac:dyDescent="0.25">
      <c r="A893" t="s">
        <v>310</v>
      </c>
      <c r="B893" t="str">
        <f t="shared" si="55"/>
        <v>Twin202+1.150</v>
      </c>
      <c r="C893">
        <v>1.1000000000000001</v>
      </c>
      <c r="D893">
        <v>50</v>
      </c>
      <c r="E893">
        <v>1.3409442704055214</v>
      </c>
      <c r="F893">
        <v>48.768000000000001</v>
      </c>
      <c r="G893">
        <f t="shared" si="52"/>
        <v>12.513636413102525</v>
      </c>
      <c r="H893">
        <f t="shared" si="53"/>
        <v>15.52018831487872</v>
      </c>
      <c r="I893">
        <f t="shared" si="54"/>
        <v>10.71586408728859</v>
      </c>
    </row>
    <row r="894" spans="1:9" x14ac:dyDescent="0.25">
      <c r="A894" t="s">
        <v>310</v>
      </c>
      <c r="B894" t="str">
        <f t="shared" si="55"/>
        <v>Twin202+1.160</v>
      </c>
      <c r="C894">
        <v>1.1000000000000001</v>
      </c>
      <c r="D894">
        <v>60</v>
      </c>
      <c r="E894">
        <v>1.4717681016645967</v>
      </c>
      <c r="F894">
        <v>53.949600000000004</v>
      </c>
      <c r="G894">
        <f t="shared" si="52"/>
        <v>13.93103201153987</v>
      </c>
      <c r="H894">
        <f t="shared" si="53"/>
        <v>17.034353028525423</v>
      </c>
      <c r="I894">
        <f t="shared" si="54"/>
        <v>10.564673890961181</v>
      </c>
    </row>
    <row r="895" spans="1:9" x14ac:dyDescent="0.25">
      <c r="A895" t="s">
        <v>310</v>
      </c>
      <c r="B895" t="str">
        <f t="shared" si="55"/>
        <v>Twin202+1.170</v>
      </c>
      <c r="C895">
        <v>1.1000000000000001</v>
      </c>
      <c r="D895">
        <v>70</v>
      </c>
      <c r="E895">
        <v>1.5862389540162876</v>
      </c>
      <c r="F895">
        <v>57.150000000000006</v>
      </c>
      <c r="G895">
        <f t="shared" si="52"/>
        <v>14.814909792896458</v>
      </c>
      <c r="H895">
        <f t="shared" si="53"/>
        <v>18.35924715296629</v>
      </c>
      <c r="I895">
        <f t="shared" si="54"/>
        <v>10.707044296529345</v>
      </c>
    </row>
    <row r="896" spans="1:9" x14ac:dyDescent="0.25">
      <c r="A896" t="s">
        <v>310</v>
      </c>
      <c r="B896" t="str">
        <f t="shared" si="55"/>
        <v>Twin202+1.180</v>
      </c>
      <c r="C896">
        <v>1.1000000000000001</v>
      </c>
      <c r="D896">
        <v>80</v>
      </c>
      <c r="E896">
        <v>1.6952588133988504</v>
      </c>
      <c r="F896">
        <v>59.2836</v>
      </c>
      <c r="G896">
        <f t="shared" si="52"/>
        <v>15.407736975106708</v>
      </c>
      <c r="H896">
        <f t="shared" si="53"/>
        <v>19.621051081005213</v>
      </c>
      <c r="I896">
        <f t="shared" si="54"/>
        <v>11.002646372648828</v>
      </c>
    </row>
    <row r="897" spans="1:9" x14ac:dyDescent="0.25">
      <c r="A897" t="s">
        <v>310</v>
      </c>
      <c r="B897" t="str">
        <f t="shared" si="55"/>
        <v>Twin202+1.190</v>
      </c>
      <c r="C897">
        <v>1.1000000000000001</v>
      </c>
      <c r="D897">
        <v>90</v>
      </c>
      <c r="E897">
        <v>1.7988276798122851</v>
      </c>
      <c r="F897">
        <v>61.112400000000001</v>
      </c>
      <c r="G897">
        <f t="shared" si="52"/>
        <v>15.918151095220431</v>
      </c>
      <c r="H897">
        <f t="shared" si="53"/>
        <v>20.819764812642187</v>
      </c>
      <c r="I897">
        <f t="shared" si="54"/>
        <v>11.300481249687342</v>
      </c>
    </row>
    <row r="898" spans="1:9" x14ac:dyDescent="0.25">
      <c r="A898" t="s">
        <v>310</v>
      </c>
      <c r="B898" t="str">
        <f t="shared" si="55"/>
        <v>Twin202+1.1100</v>
      </c>
      <c r="C898">
        <v>1.1000000000000001</v>
      </c>
      <c r="D898">
        <v>100</v>
      </c>
      <c r="E898">
        <v>1.8969455532565913</v>
      </c>
      <c r="F898">
        <v>62.026800000000001</v>
      </c>
      <c r="G898">
        <f t="shared" si="52"/>
        <v>16.174146186748786</v>
      </c>
      <c r="H898">
        <f t="shared" si="53"/>
        <v>21.955388347877214</v>
      </c>
      <c r="I898">
        <f t="shared" si="54"/>
        <v>11.728257747606657</v>
      </c>
    </row>
    <row r="899" spans="1:9" x14ac:dyDescent="0.25">
      <c r="A899" t="s">
        <v>310</v>
      </c>
      <c r="B899" t="str">
        <f t="shared" si="55"/>
        <v>Twin202+1.1110</v>
      </c>
      <c r="C899">
        <v>1.1000000000000001</v>
      </c>
      <c r="D899">
        <v>110</v>
      </c>
      <c r="E899">
        <v>1.9896124337317698</v>
      </c>
      <c r="F899">
        <v>62.788800000000002</v>
      </c>
      <c r="G899">
        <f t="shared" ref="G899:G962" si="56">(PI()*(G$1+F899)^2)/10000-((PI()*(G$1)^2)/10000)</f>
        <v>16.38787674201253</v>
      </c>
      <c r="H899">
        <f t="shared" ref="H899:H962" si="57">E899/0.0864</f>
        <v>23.027921686710297</v>
      </c>
      <c r="I899">
        <f t="shared" ref="I899:I962" si="58">E899/G899*100</f>
        <v>12.140757860541692</v>
      </c>
    </row>
    <row r="900" spans="1:9" x14ac:dyDescent="0.25">
      <c r="A900" t="s">
        <v>310</v>
      </c>
      <c r="B900" t="str">
        <f t="shared" si="55"/>
        <v>Twin202+1.1120</v>
      </c>
      <c r="C900">
        <v>1.1000000000000001</v>
      </c>
      <c r="D900">
        <v>120</v>
      </c>
      <c r="E900">
        <v>2.0768283212378198</v>
      </c>
      <c r="F900">
        <v>63.246000000000002</v>
      </c>
      <c r="G900">
        <f t="shared" si="56"/>
        <v>16.516290193275559</v>
      </c>
      <c r="H900">
        <f t="shared" si="57"/>
        <v>24.037364829141431</v>
      </c>
      <c r="I900">
        <f t="shared" si="58"/>
        <v>12.57442377758281</v>
      </c>
    </row>
    <row r="901" spans="1:9" x14ac:dyDescent="0.25">
      <c r="A901" t="s">
        <v>310</v>
      </c>
      <c r="B901" t="str">
        <f t="shared" si="55"/>
        <v>Twin202+1.1840</v>
      </c>
      <c r="C901">
        <v>1.18</v>
      </c>
      <c r="D901">
        <v>40</v>
      </c>
      <c r="E901">
        <v>1.3518462563437776</v>
      </c>
      <c r="F901">
        <v>42.519600000000004</v>
      </c>
      <c r="G901">
        <f t="shared" si="56"/>
        <v>10.826861080984862</v>
      </c>
      <c r="H901">
        <f t="shared" si="57"/>
        <v>15.64636870768261</v>
      </c>
      <c r="I901">
        <f t="shared" si="58"/>
        <v>12.486040471305348</v>
      </c>
    </row>
    <row r="902" spans="1:9" x14ac:dyDescent="0.25">
      <c r="A902" t="s">
        <v>310</v>
      </c>
      <c r="B902" t="str">
        <f t="shared" si="55"/>
        <v>Twin202+1.1850</v>
      </c>
      <c r="C902">
        <v>1.18</v>
      </c>
      <c r="D902">
        <v>50</v>
      </c>
      <c r="E902">
        <v>1.5099250524484937</v>
      </c>
      <c r="F902">
        <v>50.749200000000002</v>
      </c>
      <c r="G902">
        <f t="shared" si="56"/>
        <v>13.053589820533787</v>
      </c>
      <c r="H902">
        <f t="shared" si="57"/>
        <v>17.475984403339048</v>
      </c>
      <c r="I902">
        <f t="shared" si="58"/>
        <v>11.567125007048444</v>
      </c>
    </row>
    <row r="903" spans="1:9" x14ac:dyDescent="0.25">
      <c r="A903" t="s">
        <v>310</v>
      </c>
      <c r="B903" t="str">
        <f t="shared" si="55"/>
        <v>Twin202+1.1860</v>
      </c>
      <c r="C903">
        <v>1.18</v>
      </c>
      <c r="D903">
        <v>60</v>
      </c>
      <c r="E903">
        <v>1.6516508696458254</v>
      </c>
      <c r="F903">
        <v>55.930800000000005</v>
      </c>
      <c r="G903">
        <f t="shared" si="56"/>
        <v>14.47743560249706</v>
      </c>
      <c r="H903">
        <f t="shared" si="57"/>
        <v>19.116329509789644</v>
      </c>
      <c r="I903">
        <f t="shared" si="58"/>
        <v>11.408449085837754</v>
      </c>
    </row>
    <row r="904" spans="1:9" x14ac:dyDescent="0.25">
      <c r="A904" t="s">
        <v>310</v>
      </c>
      <c r="B904" t="str">
        <f t="shared" si="55"/>
        <v>Twin202+1.1870</v>
      </c>
      <c r="C904">
        <v>1.18</v>
      </c>
      <c r="D904">
        <v>70</v>
      </c>
      <c r="E904">
        <v>1.7879256938740289</v>
      </c>
      <c r="F904">
        <v>59.436</v>
      </c>
      <c r="G904">
        <f t="shared" si="56"/>
        <v>15.450191222651497</v>
      </c>
      <c r="H904">
        <f t="shared" si="57"/>
        <v>20.693584419838295</v>
      </c>
      <c r="I904">
        <f t="shared" si="58"/>
        <v>11.572191360665842</v>
      </c>
    </row>
    <row r="905" spans="1:9" x14ac:dyDescent="0.25">
      <c r="A905" t="s">
        <v>310</v>
      </c>
      <c r="B905" t="str">
        <f t="shared" si="55"/>
        <v>Twin202+1.1880</v>
      </c>
      <c r="C905">
        <v>1.18</v>
      </c>
      <c r="D905">
        <v>80</v>
      </c>
      <c r="E905">
        <v>1.9078475391948475</v>
      </c>
      <c r="F905">
        <v>61.569600000000001</v>
      </c>
      <c r="G905">
        <f t="shared" si="56"/>
        <v>16.04608297169532</v>
      </c>
      <c r="H905">
        <f t="shared" si="57"/>
        <v>22.081568740681103</v>
      </c>
      <c r="I905">
        <f t="shared" si="58"/>
        <v>11.889802281093885</v>
      </c>
    </row>
    <row r="906" spans="1:9" x14ac:dyDescent="0.25">
      <c r="A906" t="s">
        <v>310</v>
      </c>
      <c r="B906" t="str">
        <f t="shared" si="55"/>
        <v>Twin202+1.1890</v>
      </c>
      <c r="C906">
        <v>1.18</v>
      </c>
      <c r="D906">
        <v>90</v>
      </c>
      <c r="E906">
        <v>2.0223183915465386</v>
      </c>
      <c r="F906">
        <v>62.941200000000002</v>
      </c>
      <c r="G906">
        <f t="shared" si="56"/>
        <v>16.430666632591475</v>
      </c>
      <c r="H906">
        <f t="shared" si="57"/>
        <v>23.406462865121973</v>
      </c>
      <c r="I906">
        <f t="shared" si="58"/>
        <v>12.30819440725014</v>
      </c>
    </row>
    <row r="907" spans="1:9" x14ac:dyDescent="0.25">
      <c r="A907" t="s">
        <v>310</v>
      </c>
      <c r="B907" t="str">
        <f t="shared" si="55"/>
        <v>Twin202+1.18100</v>
      </c>
      <c r="C907">
        <v>1.18</v>
      </c>
      <c r="D907">
        <v>100</v>
      </c>
      <c r="E907">
        <v>2.1367892438982294</v>
      </c>
      <c r="F907">
        <v>63.703200000000002</v>
      </c>
      <c r="G907">
        <f t="shared" si="56"/>
        <v>16.64483498311715</v>
      </c>
      <c r="H907">
        <f t="shared" si="57"/>
        <v>24.73135698956284</v>
      </c>
      <c r="I907">
        <f t="shared" si="58"/>
        <v>12.837551384952594</v>
      </c>
    </row>
    <row r="908" spans="1:9" x14ac:dyDescent="0.25">
      <c r="A908" t="s">
        <v>310</v>
      </c>
      <c r="B908" t="str">
        <f t="shared" si="55"/>
        <v>Twin202+1.18110</v>
      </c>
      <c r="C908">
        <v>1.18</v>
      </c>
      <c r="D908">
        <v>110</v>
      </c>
      <c r="E908">
        <v>2.2403581103116639</v>
      </c>
      <c r="F908">
        <v>64.16040000000001</v>
      </c>
      <c r="G908">
        <f t="shared" si="56"/>
        <v>16.773511111537339</v>
      </c>
      <c r="H908">
        <f t="shared" si="57"/>
        <v>25.930070721199812</v>
      </c>
      <c r="I908">
        <f t="shared" si="58"/>
        <v>13.356524435546929</v>
      </c>
    </row>
    <row r="909" spans="1:9" x14ac:dyDescent="0.25">
      <c r="A909" t="s">
        <v>310</v>
      </c>
      <c r="B909" t="str">
        <f t="shared" si="55"/>
        <v>Twin202+1.18120</v>
      </c>
      <c r="C909">
        <v>1.18</v>
      </c>
      <c r="D909">
        <v>120</v>
      </c>
      <c r="E909">
        <v>2.3384759837559708</v>
      </c>
      <c r="F909">
        <v>64.61760000000001</v>
      </c>
      <c r="G909">
        <f t="shared" si="56"/>
        <v>16.902318578536118</v>
      </c>
      <c r="H909">
        <f t="shared" si="57"/>
        <v>27.065694256434845</v>
      </c>
      <c r="I909">
        <f t="shared" si="58"/>
        <v>13.835237886981671</v>
      </c>
    </row>
    <row r="910" spans="1:9" x14ac:dyDescent="0.25">
      <c r="A910" t="s">
        <v>310</v>
      </c>
      <c r="B910" t="str">
        <f t="shared" si="55"/>
        <v>Twin202+1.2840</v>
      </c>
      <c r="C910">
        <v>1.28</v>
      </c>
      <c r="D910">
        <v>40</v>
      </c>
      <c r="E910">
        <v>1.5862389540162876</v>
      </c>
      <c r="F910">
        <v>44.348400000000005</v>
      </c>
      <c r="G910">
        <f t="shared" si="56"/>
        <v>11.318012209573212</v>
      </c>
      <c r="H910">
        <f t="shared" si="57"/>
        <v>18.35924715296629</v>
      </c>
      <c r="I910">
        <f t="shared" si="58"/>
        <v>14.015172670290859</v>
      </c>
    </row>
    <row r="911" spans="1:9" x14ac:dyDescent="0.25">
      <c r="A911" t="s">
        <v>310</v>
      </c>
      <c r="B911" t="str">
        <f t="shared" si="55"/>
        <v>Twin202+1.2850</v>
      </c>
      <c r="C911">
        <v>1.28</v>
      </c>
      <c r="D911">
        <v>50</v>
      </c>
      <c r="E911">
        <v>1.7715727149666443</v>
      </c>
      <c r="F911">
        <v>53.035200000000003</v>
      </c>
      <c r="G911">
        <f t="shared" si="56"/>
        <v>13.679677549788082</v>
      </c>
      <c r="H911">
        <f t="shared" si="57"/>
        <v>20.504313830632455</v>
      </c>
      <c r="I911">
        <f t="shared" si="58"/>
        <v>12.950398198487424</v>
      </c>
    </row>
    <row r="912" spans="1:9" x14ac:dyDescent="0.25">
      <c r="A912" t="s">
        <v>310</v>
      </c>
      <c r="B912" t="str">
        <f t="shared" si="55"/>
        <v>Twin202+1.2860</v>
      </c>
      <c r="C912">
        <v>1.28</v>
      </c>
      <c r="D912">
        <v>60</v>
      </c>
      <c r="E912">
        <v>1.9405534970096165</v>
      </c>
      <c r="F912">
        <v>58.8264</v>
      </c>
      <c r="G912">
        <f t="shared" si="56"/>
        <v>15.280461791524729</v>
      </c>
      <c r="H912">
        <f t="shared" si="57"/>
        <v>22.460109919092783</v>
      </c>
      <c r="I912">
        <f t="shared" si="58"/>
        <v>12.699573635175998</v>
      </c>
    </row>
    <row r="913" spans="1:9" x14ac:dyDescent="0.25">
      <c r="A913" t="s">
        <v>310</v>
      </c>
      <c r="B913" t="str">
        <f t="shared" si="55"/>
        <v>Twin202+1.2870</v>
      </c>
      <c r="C913">
        <v>1.28</v>
      </c>
      <c r="D913">
        <v>70</v>
      </c>
      <c r="E913">
        <v>2.0931813001452042</v>
      </c>
      <c r="F913">
        <v>62.026800000000001</v>
      </c>
      <c r="G913">
        <f t="shared" si="56"/>
        <v>16.174146186748786</v>
      </c>
      <c r="H913">
        <f t="shared" si="57"/>
        <v>24.226635418347268</v>
      </c>
      <c r="I913">
        <f t="shared" si="58"/>
        <v>12.941525790462519</v>
      </c>
    </row>
    <row r="914" spans="1:9" x14ac:dyDescent="0.25">
      <c r="A914" t="s">
        <v>310</v>
      </c>
      <c r="B914" t="str">
        <f t="shared" si="55"/>
        <v>Twin202+1.2880</v>
      </c>
      <c r="C914">
        <v>1.28</v>
      </c>
      <c r="D914">
        <v>80</v>
      </c>
      <c r="E914">
        <v>2.2403581103116639</v>
      </c>
      <c r="F914">
        <v>64.16040000000001</v>
      </c>
      <c r="G914">
        <f t="shared" si="56"/>
        <v>16.773511111537339</v>
      </c>
      <c r="H914">
        <f t="shared" si="57"/>
        <v>25.930070721199812</v>
      </c>
      <c r="I914">
        <f t="shared" si="58"/>
        <v>13.356524435546929</v>
      </c>
    </row>
    <row r="915" spans="1:9" x14ac:dyDescent="0.25">
      <c r="A915" t="s">
        <v>310</v>
      </c>
      <c r="B915" t="str">
        <f t="shared" si="55"/>
        <v>Twin202+1.2890</v>
      </c>
      <c r="C915">
        <v>1.28</v>
      </c>
      <c r="D915">
        <v>90</v>
      </c>
      <c r="E915">
        <v>2.3766329345398676</v>
      </c>
      <c r="F915">
        <v>65.379599999999996</v>
      </c>
      <c r="G915">
        <f t="shared" si="56"/>
        <v>17.117289553708673</v>
      </c>
      <c r="H915">
        <f t="shared" si="57"/>
        <v>27.507325631248467</v>
      </c>
      <c r="I915">
        <f t="shared" si="58"/>
        <v>13.884399905036021</v>
      </c>
    </row>
    <row r="916" spans="1:9" x14ac:dyDescent="0.25">
      <c r="A916" t="s">
        <v>310</v>
      </c>
      <c r="B916" t="str">
        <f t="shared" si="55"/>
        <v>Twin202+1.28100</v>
      </c>
      <c r="C916">
        <v>1.28</v>
      </c>
      <c r="D916">
        <v>100</v>
      </c>
      <c r="E916">
        <v>2.5020057728298148</v>
      </c>
      <c r="F916">
        <v>66.141599999999997</v>
      </c>
      <c r="G916">
        <f t="shared" si="56"/>
        <v>17.332625358266206</v>
      </c>
      <c r="H916">
        <f t="shared" si="57"/>
        <v>28.958400148493226</v>
      </c>
      <c r="I916">
        <f t="shared" si="58"/>
        <v>14.435238292602731</v>
      </c>
    </row>
    <row r="917" spans="1:9" x14ac:dyDescent="0.25">
      <c r="A917" t="s">
        <v>310</v>
      </c>
      <c r="B917" t="str">
        <f t="shared" si="55"/>
        <v>Twin202+1.28110</v>
      </c>
      <c r="C917">
        <v>1.28</v>
      </c>
      <c r="D917">
        <v>110</v>
      </c>
      <c r="E917">
        <v>2.6273786111197617</v>
      </c>
      <c r="F917">
        <v>66.751199999999997</v>
      </c>
      <c r="G917">
        <f t="shared" si="56"/>
        <v>17.505156679069387</v>
      </c>
      <c r="H917">
        <f t="shared" si="57"/>
        <v>30.409474665737982</v>
      </c>
      <c r="I917">
        <f t="shared" si="58"/>
        <v>15.009169351001999</v>
      </c>
    </row>
    <row r="918" spans="1:9" x14ac:dyDescent="0.25">
      <c r="A918" t="s">
        <v>310</v>
      </c>
      <c r="B918" t="str">
        <f t="shared" si="55"/>
        <v>Twin202+1.28120</v>
      </c>
      <c r="C918">
        <v>1.28</v>
      </c>
      <c r="D918">
        <v>120</v>
      </c>
      <c r="E918">
        <v>2.7418494634714525</v>
      </c>
      <c r="F918">
        <v>67.360799999999998</v>
      </c>
      <c r="G918">
        <f t="shared" si="56"/>
        <v>17.677921490678926</v>
      </c>
      <c r="H918">
        <f t="shared" si="57"/>
        <v>31.734368790178848</v>
      </c>
      <c r="I918">
        <f t="shared" si="58"/>
        <v>15.510021723521925</v>
      </c>
    </row>
    <row r="919" spans="1:9" x14ac:dyDescent="0.25">
      <c r="A919" t="s">
        <v>310</v>
      </c>
      <c r="B919" t="str">
        <f t="shared" si="55"/>
        <v>Twin202+1.3840</v>
      </c>
      <c r="C919">
        <v>1.38</v>
      </c>
      <c r="D919">
        <v>40</v>
      </c>
      <c r="E919">
        <v>1.8369846305961821</v>
      </c>
      <c r="F919">
        <v>45.872399999999999</v>
      </c>
      <c r="G919">
        <f t="shared" si="56"/>
        <v>11.728910066023943</v>
      </c>
      <c r="H919">
        <f t="shared" si="57"/>
        <v>21.261396187455809</v>
      </c>
      <c r="I919">
        <f t="shared" si="58"/>
        <v>15.662023327448985</v>
      </c>
    </row>
    <row r="920" spans="1:9" x14ac:dyDescent="0.25">
      <c r="A920" t="s">
        <v>310</v>
      </c>
      <c r="B920" t="str">
        <f t="shared" si="55"/>
        <v>Twin202+1.3850</v>
      </c>
      <c r="C920">
        <v>1.38</v>
      </c>
      <c r="D920">
        <v>50</v>
      </c>
      <c r="E920">
        <v>2.0550243493613074</v>
      </c>
      <c r="F920">
        <v>55.473600000000005</v>
      </c>
      <c r="G920">
        <f t="shared" si="56"/>
        <v>14.351123568491367</v>
      </c>
      <c r="H920">
        <f t="shared" si="57"/>
        <v>23.78500404353365</v>
      </c>
      <c r="I920">
        <f t="shared" si="58"/>
        <v>14.319605984532247</v>
      </c>
    </row>
    <row r="921" spans="1:9" x14ac:dyDescent="0.25">
      <c r="A921" t="s">
        <v>310</v>
      </c>
      <c r="B921" t="str">
        <f t="shared" si="55"/>
        <v>Twin202+1.3860</v>
      </c>
      <c r="C921">
        <v>1.38</v>
      </c>
      <c r="D921">
        <v>60</v>
      </c>
      <c r="E921">
        <v>2.2512600962499203</v>
      </c>
      <c r="F921">
        <v>61.112400000000001</v>
      </c>
      <c r="G921">
        <f t="shared" si="56"/>
        <v>15.918151095220431</v>
      </c>
      <c r="H921">
        <f t="shared" si="57"/>
        <v>26.056251114003707</v>
      </c>
      <c r="I921">
        <f t="shared" si="58"/>
        <v>14.142723503396581</v>
      </c>
    </row>
    <row r="922" spans="1:9" x14ac:dyDescent="0.25">
      <c r="A922" t="s">
        <v>310</v>
      </c>
      <c r="B922" t="str">
        <f t="shared" si="55"/>
        <v>Twin202+1.3870</v>
      </c>
      <c r="C922">
        <v>1.38</v>
      </c>
      <c r="D922">
        <v>70</v>
      </c>
      <c r="E922">
        <v>2.4311428642311488</v>
      </c>
      <c r="F922">
        <v>64.31280000000001</v>
      </c>
      <c r="G922">
        <f t="shared" si="56"/>
        <v>16.816432340694881</v>
      </c>
      <c r="H922">
        <f t="shared" si="57"/>
        <v>28.138227595267924</v>
      </c>
      <c r="I922">
        <f t="shared" si="58"/>
        <v>14.45694791247672</v>
      </c>
    </row>
    <row r="923" spans="1:9" x14ac:dyDescent="0.25">
      <c r="A923" t="s">
        <v>310</v>
      </c>
      <c r="B923" t="str">
        <f t="shared" si="55"/>
        <v>Twin202+1.3880</v>
      </c>
      <c r="C923">
        <v>1.38</v>
      </c>
      <c r="D923">
        <v>80</v>
      </c>
      <c r="E923">
        <v>2.5946726533049929</v>
      </c>
      <c r="F923">
        <v>66.446399999999997</v>
      </c>
      <c r="G923">
        <f t="shared" si="56"/>
        <v>17.418861832316999</v>
      </c>
      <c r="H923">
        <f t="shared" si="57"/>
        <v>30.030933487326305</v>
      </c>
      <c r="I923">
        <f t="shared" si="58"/>
        <v>14.895764592903129</v>
      </c>
    </row>
    <row r="924" spans="1:9" x14ac:dyDescent="0.25">
      <c r="A924" t="s">
        <v>310</v>
      </c>
      <c r="B924" t="str">
        <f t="shared" si="55"/>
        <v>Twin202+1.3890</v>
      </c>
      <c r="C924">
        <v>1.38</v>
      </c>
      <c r="D924">
        <v>90</v>
      </c>
      <c r="E924">
        <v>2.7582024423788369</v>
      </c>
      <c r="F924">
        <v>67.665599999999998</v>
      </c>
      <c r="G924">
        <f t="shared" si="56"/>
        <v>17.764391455536099</v>
      </c>
      <c r="H924">
        <f t="shared" si="57"/>
        <v>31.923639379384685</v>
      </c>
      <c r="I924">
        <f t="shared" si="58"/>
        <v>15.526579952274528</v>
      </c>
    </row>
    <row r="925" spans="1:9" x14ac:dyDescent="0.25">
      <c r="A925" t="s">
        <v>310</v>
      </c>
      <c r="B925" t="str">
        <f t="shared" si="55"/>
        <v>Twin202+1.38100</v>
      </c>
      <c r="C925">
        <v>1.38</v>
      </c>
      <c r="D925">
        <v>100</v>
      </c>
      <c r="E925">
        <v>2.9053792525452966</v>
      </c>
      <c r="F925">
        <v>68.58</v>
      </c>
      <c r="G925">
        <f t="shared" si="56"/>
        <v>18.024151586317146</v>
      </c>
      <c r="H925">
        <f t="shared" si="57"/>
        <v>33.627074682237229</v>
      </c>
      <c r="I925">
        <f t="shared" si="58"/>
        <v>16.119367608686151</v>
      </c>
    </row>
    <row r="926" spans="1:9" x14ac:dyDescent="0.25">
      <c r="A926" t="s">
        <v>310</v>
      </c>
      <c r="B926" t="str">
        <f t="shared" si="55"/>
        <v>Twin202+1.38110</v>
      </c>
      <c r="C926">
        <v>1.38</v>
      </c>
      <c r="D926">
        <v>110</v>
      </c>
      <c r="E926">
        <v>3.0471050697426283</v>
      </c>
      <c r="F926">
        <v>69.037199999999999</v>
      </c>
      <c r="G926">
        <f t="shared" si="56"/>
        <v>18.154228659575537</v>
      </c>
      <c r="H926">
        <f t="shared" si="57"/>
        <v>35.267419788687825</v>
      </c>
      <c r="I926">
        <f t="shared" si="58"/>
        <v>16.78454715362097</v>
      </c>
    </row>
    <row r="927" spans="1:9" x14ac:dyDescent="0.25">
      <c r="A927" t="s">
        <v>310</v>
      </c>
      <c r="B927" t="str">
        <f t="shared" si="55"/>
        <v>Twin202+1.38120</v>
      </c>
      <c r="C927">
        <v>1.38</v>
      </c>
      <c r="D927">
        <v>120</v>
      </c>
      <c r="E927">
        <v>3.1833798939708315</v>
      </c>
      <c r="F927">
        <v>69.494399999999999</v>
      </c>
      <c r="G927">
        <f t="shared" si="56"/>
        <v>18.284437071412512</v>
      </c>
      <c r="H927">
        <f t="shared" si="57"/>
        <v>36.844674698736476</v>
      </c>
      <c r="I927">
        <f t="shared" si="58"/>
        <v>17.410324865554685</v>
      </c>
    </row>
    <row r="928" spans="1:9" x14ac:dyDescent="0.25">
      <c r="A928" t="s">
        <v>310</v>
      </c>
      <c r="B928" t="str">
        <f t="shared" si="55"/>
        <v>Twin202+1.4840</v>
      </c>
      <c r="C928">
        <v>1.48</v>
      </c>
      <c r="D928">
        <v>40</v>
      </c>
      <c r="E928">
        <v>2.1095342790525886</v>
      </c>
      <c r="F928">
        <v>47.0916</v>
      </c>
      <c r="G928">
        <f t="shared" si="56"/>
        <v>12.058679059813194</v>
      </c>
      <c r="H928">
        <f t="shared" si="57"/>
        <v>24.415906007553108</v>
      </c>
      <c r="I928">
        <f t="shared" si="58"/>
        <v>17.493908483582018</v>
      </c>
    </row>
    <row r="929" spans="1:9" x14ac:dyDescent="0.25">
      <c r="A929" t="s">
        <v>310</v>
      </c>
      <c r="B929" t="str">
        <f t="shared" si="55"/>
        <v>Twin202+1.4850</v>
      </c>
      <c r="C929">
        <v>1.48</v>
      </c>
      <c r="D929">
        <v>50</v>
      </c>
      <c r="E929">
        <v>2.3602799556324832</v>
      </c>
      <c r="F929">
        <v>57.454800000000006</v>
      </c>
      <c r="G929">
        <f t="shared" si="56"/>
        <v>14.899424272250286</v>
      </c>
      <c r="H929">
        <f t="shared" si="57"/>
        <v>27.318055042042626</v>
      </c>
      <c r="I929">
        <f t="shared" si="58"/>
        <v>15.841417174947029</v>
      </c>
    </row>
    <row r="930" spans="1:9" x14ac:dyDescent="0.25">
      <c r="A930" t="s">
        <v>310</v>
      </c>
      <c r="B930" t="str">
        <f t="shared" si="55"/>
        <v>Twin202+1.4860</v>
      </c>
      <c r="C930">
        <v>1.48</v>
      </c>
      <c r="D930">
        <v>60</v>
      </c>
      <c r="E930">
        <v>2.5837706673667369</v>
      </c>
      <c r="F930">
        <v>63.093600000000002</v>
      </c>
      <c r="G930">
        <f t="shared" si="56"/>
        <v>16.473471116345813</v>
      </c>
      <c r="H930">
        <f t="shared" si="57"/>
        <v>29.904753094522416</v>
      </c>
      <c r="I930">
        <f t="shared" si="58"/>
        <v>15.684433773055812</v>
      </c>
    </row>
    <row r="931" spans="1:9" x14ac:dyDescent="0.25">
      <c r="A931" t="s">
        <v>310</v>
      </c>
      <c r="B931" t="str">
        <f t="shared" si="55"/>
        <v>Twin202+1.4870</v>
      </c>
      <c r="C931">
        <v>1.48</v>
      </c>
      <c r="D931">
        <v>70</v>
      </c>
      <c r="E931">
        <v>2.7909084001936058</v>
      </c>
      <c r="F931">
        <v>66.293999999999997</v>
      </c>
      <c r="G931">
        <f t="shared" si="56"/>
        <v>17.375736298703899</v>
      </c>
      <c r="H931">
        <f t="shared" si="57"/>
        <v>32.302180557796362</v>
      </c>
      <c r="I931">
        <f t="shared" si="58"/>
        <v>16.062101497257338</v>
      </c>
    </row>
    <row r="932" spans="1:9" x14ac:dyDescent="0.25">
      <c r="A932" t="s">
        <v>310</v>
      </c>
      <c r="B932" t="str">
        <f t="shared" si="55"/>
        <v>Twin202+1.4880</v>
      </c>
      <c r="C932">
        <v>1.48</v>
      </c>
      <c r="D932">
        <v>80</v>
      </c>
      <c r="E932">
        <v>2.9816931541130907</v>
      </c>
      <c r="F932">
        <v>68.58</v>
      </c>
      <c r="G932">
        <f t="shared" si="56"/>
        <v>18.024151586317146</v>
      </c>
      <c r="H932">
        <f t="shared" si="57"/>
        <v>34.510337431864471</v>
      </c>
      <c r="I932">
        <f t="shared" si="58"/>
        <v>16.542765632178842</v>
      </c>
    </row>
    <row r="933" spans="1:9" x14ac:dyDescent="0.25">
      <c r="A933" t="s">
        <v>310</v>
      </c>
      <c r="B933" t="str">
        <f t="shared" si="55"/>
        <v>Twin202+1.4890</v>
      </c>
      <c r="C933">
        <v>1.48</v>
      </c>
      <c r="D933">
        <v>90</v>
      </c>
      <c r="E933">
        <v>3.1615759220943191</v>
      </c>
      <c r="F933">
        <v>69.646799999999999</v>
      </c>
      <c r="G933">
        <f t="shared" si="56"/>
        <v>18.327869061708967</v>
      </c>
      <c r="H933">
        <f t="shared" si="57"/>
        <v>36.592313913128692</v>
      </c>
      <c r="I933">
        <f t="shared" si="58"/>
        <v>17.250100988006082</v>
      </c>
    </row>
    <row r="934" spans="1:9" x14ac:dyDescent="0.25">
      <c r="A934" t="s">
        <v>310</v>
      </c>
      <c r="B934" t="str">
        <f t="shared" ref="B934:B997" si="59">A934&amp;C934&amp;D934</f>
        <v>Twin202+1.48100</v>
      </c>
      <c r="C934">
        <v>1.48</v>
      </c>
      <c r="D934">
        <v>100</v>
      </c>
      <c r="E934">
        <v>3.3360076971064196</v>
      </c>
      <c r="F934">
        <v>70.256399999999999</v>
      </c>
      <c r="G934">
        <f t="shared" si="56"/>
        <v>18.501742954648762</v>
      </c>
      <c r="H934">
        <f t="shared" si="57"/>
        <v>38.611200197990968</v>
      </c>
      <c r="I934">
        <f t="shared" si="58"/>
        <v>18.030775291190672</v>
      </c>
    </row>
    <row r="935" spans="1:9" x14ac:dyDescent="0.25">
      <c r="A935" t="s">
        <v>310</v>
      </c>
      <c r="B935" t="str">
        <f t="shared" si="59"/>
        <v>Twin202+1.48110</v>
      </c>
      <c r="C935">
        <v>1.48</v>
      </c>
      <c r="D935">
        <v>110</v>
      </c>
      <c r="E935">
        <v>3.4995374861802637</v>
      </c>
      <c r="F935">
        <v>70.866</v>
      </c>
      <c r="G935">
        <f t="shared" si="56"/>
        <v>18.675850338394937</v>
      </c>
      <c r="H935">
        <f t="shared" si="57"/>
        <v>40.503906090049348</v>
      </c>
      <c r="I935">
        <f t="shared" si="58"/>
        <v>18.738303331686609</v>
      </c>
    </row>
    <row r="936" spans="1:9" x14ac:dyDescent="0.25">
      <c r="A936" t="s">
        <v>310</v>
      </c>
      <c r="B936" t="str">
        <f t="shared" si="59"/>
        <v>Twin202+1.48120</v>
      </c>
      <c r="C936">
        <v>1.48</v>
      </c>
      <c r="D936">
        <v>120</v>
      </c>
      <c r="E936">
        <v>3.6521652893158514</v>
      </c>
      <c r="F936">
        <v>71.4756</v>
      </c>
      <c r="G936">
        <f t="shared" si="56"/>
        <v>18.850191212947465</v>
      </c>
      <c r="H936">
        <f t="shared" si="57"/>
        <v>42.270431589303833</v>
      </c>
      <c r="I936">
        <f t="shared" si="58"/>
        <v>19.374685636118752</v>
      </c>
    </row>
    <row r="937" spans="1:9" x14ac:dyDescent="0.25">
      <c r="A937" t="s">
        <v>310</v>
      </c>
      <c r="B937" t="str">
        <f t="shared" si="59"/>
        <v>Twin202+1.5840</v>
      </c>
      <c r="C937">
        <v>1.58</v>
      </c>
      <c r="D937">
        <v>40</v>
      </c>
      <c r="E937">
        <v>2.39843690641638</v>
      </c>
      <c r="F937">
        <v>48.615600000000001</v>
      </c>
      <c r="G937">
        <f t="shared" si="56"/>
        <v>12.472203687835574</v>
      </c>
      <c r="H937">
        <f t="shared" si="57"/>
        <v>27.759686416856248</v>
      </c>
      <c r="I937">
        <f t="shared" si="58"/>
        <v>19.230257670948962</v>
      </c>
    </row>
    <row r="938" spans="1:9" x14ac:dyDescent="0.25">
      <c r="A938" t="s">
        <v>310</v>
      </c>
      <c r="B938" t="str">
        <f t="shared" si="59"/>
        <v>Twin202+1.5850</v>
      </c>
      <c r="C938">
        <v>1.58</v>
      </c>
      <c r="D938">
        <v>50</v>
      </c>
      <c r="E938">
        <v>2.6818885408110429</v>
      </c>
      <c r="F938">
        <v>59.1312</v>
      </c>
      <c r="G938">
        <f t="shared" si="56"/>
        <v>15.365297320737312</v>
      </c>
      <c r="H938">
        <f t="shared" si="57"/>
        <v>31.040376629757439</v>
      </c>
      <c r="I938">
        <f t="shared" si="58"/>
        <v>17.454192293379915</v>
      </c>
    </row>
    <row r="939" spans="1:9" x14ac:dyDescent="0.25">
      <c r="A939" t="s">
        <v>310</v>
      </c>
      <c r="B939" t="str">
        <f t="shared" si="59"/>
        <v>Twin202+1.5860</v>
      </c>
      <c r="C939">
        <v>1.58</v>
      </c>
      <c r="D939">
        <v>60</v>
      </c>
      <c r="E939">
        <v>2.9380852103600654</v>
      </c>
      <c r="F939">
        <v>65.074799999999996</v>
      </c>
      <c r="G939">
        <f t="shared" si="56"/>
        <v>17.031257384113466</v>
      </c>
      <c r="H939">
        <f t="shared" si="57"/>
        <v>34.005615860648902</v>
      </c>
      <c r="I939">
        <f t="shared" si="58"/>
        <v>17.251135040097935</v>
      </c>
    </row>
    <row r="940" spans="1:9" x14ac:dyDescent="0.25">
      <c r="A940" t="s">
        <v>310</v>
      </c>
      <c r="B940" t="str">
        <f t="shared" si="59"/>
        <v>Twin202+1.5870</v>
      </c>
      <c r="C940">
        <v>1.58</v>
      </c>
      <c r="D940">
        <v>70</v>
      </c>
      <c r="E940">
        <v>3.1724779080325751</v>
      </c>
      <c r="F940">
        <v>68.122799999999998</v>
      </c>
      <c r="G940">
        <f t="shared" si="56"/>
        <v>17.894205851637324</v>
      </c>
      <c r="H940">
        <f t="shared" si="57"/>
        <v>36.71849430593258</v>
      </c>
      <c r="I940">
        <f t="shared" si="58"/>
        <v>17.729079090382168</v>
      </c>
    </row>
    <row r="941" spans="1:9" x14ac:dyDescent="0.25">
      <c r="A941" t="s">
        <v>310</v>
      </c>
      <c r="B941" t="str">
        <f t="shared" si="59"/>
        <v>Twin202+1.5880</v>
      </c>
      <c r="C941">
        <v>1.58</v>
      </c>
      <c r="D941">
        <v>80</v>
      </c>
      <c r="E941">
        <v>3.3905176267977009</v>
      </c>
      <c r="F941">
        <v>69.799199999999999</v>
      </c>
      <c r="G941">
        <f t="shared" si="56"/>
        <v>18.371315645180815</v>
      </c>
      <c r="H941">
        <f t="shared" si="57"/>
        <v>39.242102162010426</v>
      </c>
      <c r="I941">
        <f t="shared" si="58"/>
        <v>18.455497103644319</v>
      </c>
    </row>
    <row r="942" spans="1:9" x14ac:dyDescent="0.25">
      <c r="A942" t="s">
        <v>310</v>
      </c>
      <c r="B942" t="str">
        <f t="shared" si="59"/>
        <v>Twin202+1.5890</v>
      </c>
      <c r="C942">
        <v>1.58</v>
      </c>
      <c r="D942">
        <v>90</v>
      </c>
      <c r="E942">
        <v>3.5976553596245702</v>
      </c>
      <c r="F942">
        <v>70.866</v>
      </c>
      <c r="G942">
        <f t="shared" si="56"/>
        <v>18.675850338394937</v>
      </c>
      <c r="H942">
        <f t="shared" si="57"/>
        <v>41.639529625284375</v>
      </c>
      <c r="I942">
        <f t="shared" si="58"/>
        <v>19.263676322294646</v>
      </c>
    </row>
    <row r="943" spans="1:9" x14ac:dyDescent="0.25">
      <c r="A943" t="s">
        <v>310</v>
      </c>
      <c r="B943" t="str">
        <f t="shared" si="59"/>
        <v>Twin202+1.58100</v>
      </c>
      <c r="C943">
        <v>1.58</v>
      </c>
      <c r="D943">
        <v>100</v>
      </c>
      <c r="E943">
        <v>3.7938911065131826</v>
      </c>
      <c r="F943">
        <v>71.628</v>
      </c>
      <c r="G943">
        <f t="shared" si="56"/>
        <v>18.893812914524091</v>
      </c>
      <c r="H943">
        <f t="shared" si="57"/>
        <v>43.910776695754429</v>
      </c>
      <c r="I943">
        <f t="shared" si="58"/>
        <v>20.08007131052269</v>
      </c>
    </row>
    <row r="944" spans="1:9" x14ac:dyDescent="0.25">
      <c r="A944" t="s">
        <v>310</v>
      </c>
      <c r="B944" t="str">
        <f t="shared" si="59"/>
        <v>Twin202+1.58110</v>
      </c>
      <c r="C944">
        <v>1.58</v>
      </c>
      <c r="D944">
        <v>110</v>
      </c>
      <c r="E944">
        <v>3.9792248674635395</v>
      </c>
      <c r="F944">
        <v>72.0852</v>
      </c>
      <c r="G944">
        <f t="shared" si="56"/>
        <v>19.024765578306372</v>
      </c>
      <c r="H944">
        <f t="shared" si="57"/>
        <v>46.055843373420593</v>
      </c>
      <c r="I944">
        <f t="shared" si="58"/>
        <v>20.916025751197608</v>
      </c>
    </row>
    <row r="945" spans="1:9" x14ac:dyDescent="0.25">
      <c r="A945" t="s">
        <v>310</v>
      </c>
      <c r="B945" t="str">
        <f t="shared" si="59"/>
        <v>Twin202+1.58120</v>
      </c>
      <c r="C945">
        <v>1.58</v>
      </c>
      <c r="D945">
        <v>120</v>
      </c>
      <c r="E945">
        <v>4.1536566424756396</v>
      </c>
      <c r="F945">
        <v>72.542400000000001</v>
      </c>
      <c r="G945">
        <f t="shared" si="56"/>
        <v>19.155849580667223</v>
      </c>
      <c r="H945">
        <f t="shared" si="57"/>
        <v>48.074729658282862</v>
      </c>
      <c r="I945">
        <f t="shared" si="58"/>
        <v>21.683489552286215</v>
      </c>
    </row>
    <row r="946" spans="1:9" x14ac:dyDescent="0.25">
      <c r="A946" t="s">
        <v>311</v>
      </c>
      <c r="B946" t="str">
        <f t="shared" si="59"/>
        <v>Twin202Ultra0.8740</v>
      </c>
      <c r="C946">
        <v>0.87</v>
      </c>
      <c r="D946">
        <v>40</v>
      </c>
      <c r="E946">
        <v>0.74678603677055466</v>
      </c>
      <c r="F946">
        <v>37.033200000000001</v>
      </c>
      <c r="G946">
        <f t="shared" si="56"/>
        <v>9.366016198763667</v>
      </c>
      <c r="H946">
        <f t="shared" si="57"/>
        <v>8.6433569070666039</v>
      </c>
      <c r="I946">
        <f t="shared" si="58"/>
        <v>7.9733583726785771</v>
      </c>
    </row>
    <row r="947" spans="1:9" x14ac:dyDescent="0.25">
      <c r="A947" t="s">
        <v>311</v>
      </c>
      <c r="B947" t="str">
        <f t="shared" si="59"/>
        <v>Twin202Ultra0.8750</v>
      </c>
      <c r="C947">
        <v>0.87</v>
      </c>
      <c r="D947">
        <v>50</v>
      </c>
      <c r="E947">
        <v>0.83400192427660491</v>
      </c>
      <c r="F947">
        <v>42.672000000000004</v>
      </c>
      <c r="G947">
        <f t="shared" si="56"/>
        <v>10.867710079235856</v>
      </c>
      <c r="H947">
        <f t="shared" si="57"/>
        <v>9.652800049497742</v>
      </c>
      <c r="I947">
        <f t="shared" si="58"/>
        <v>7.6741274674788373</v>
      </c>
    </row>
    <row r="948" spans="1:9" x14ac:dyDescent="0.25">
      <c r="A948" t="s">
        <v>311</v>
      </c>
      <c r="B948" t="str">
        <f t="shared" si="59"/>
        <v>Twin202Ultra0.8760</v>
      </c>
      <c r="C948">
        <v>0.87</v>
      </c>
      <c r="D948">
        <v>60</v>
      </c>
      <c r="E948">
        <v>0.91031582584439885</v>
      </c>
      <c r="F948">
        <v>46.177199999999999</v>
      </c>
      <c r="G948">
        <f t="shared" si="56"/>
        <v>11.811264755418868</v>
      </c>
      <c r="H948">
        <f t="shared" si="57"/>
        <v>10.536062799124986</v>
      </c>
      <c r="I948">
        <f t="shared" si="58"/>
        <v>7.7071833092790225</v>
      </c>
    </row>
    <row r="949" spans="1:9" x14ac:dyDescent="0.25">
      <c r="A949" t="s">
        <v>311</v>
      </c>
      <c r="B949" t="str">
        <f t="shared" si="59"/>
        <v>Twin202Ultra0.8770</v>
      </c>
      <c r="C949">
        <v>0.87</v>
      </c>
      <c r="D949">
        <v>70</v>
      </c>
      <c r="E949">
        <v>0.98662972741219268</v>
      </c>
      <c r="F949">
        <v>48.3108</v>
      </c>
      <c r="G949">
        <f t="shared" si="56"/>
        <v>12.389382016827916</v>
      </c>
      <c r="H949">
        <f t="shared" si="57"/>
        <v>11.41932554875223</v>
      </c>
      <c r="I949">
        <f t="shared" si="58"/>
        <v>7.9635104161942847</v>
      </c>
    </row>
    <row r="950" spans="1:9" x14ac:dyDescent="0.25">
      <c r="A950" t="s">
        <v>311</v>
      </c>
      <c r="B950" t="str">
        <f t="shared" si="59"/>
        <v>Twin202Ultra0.8780</v>
      </c>
      <c r="C950">
        <v>0.87</v>
      </c>
      <c r="D950">
        <v>80</v>
      </c>
      <c r="E950">
        <v>1.0520416430417303</v>
      </c>
      <c r="F950">
        <v>49.987200000000001</v>
      </c>
      <c r="G950">
        <f t="shared" si="56"/>
        <v>12.845623569552281</v>
      </c>
      <c r="H950">
        <f t="shared" si="57"/>
        <v>12.176407905575582</v>
      </c>
      <c r="I950">
        <f t="shared" si="58"/>
        <v>8.1898837946284146</v>
      </c>
    </row>
    <row r="951" spans="1:9" x14ac:dyDescent="0.25">
      <c r="A951" t="s">
        <v>311</v>
      </c>
      <c r="B951" t="str">
        <f t="shared" si="59"/>
        <v>Twin202Ultra0.8790</v>
      </c>
      <c r="C951">
        <v>0.87</v>
      </c>
      <c r="D951">
        <v>90</v>
      </c>
      <c r="E951">
        <v>1.1174535586712679</v>
      </c>
      <c r="F951">
        <v>51.816000000000003</v>
      </c>
      <c r="G951">
        <f t="shared" si="56"/>
        <v>13.345355485274659</v>
      </c>
      <c r="H951">
        <f t="shared" si="57"/>
        <v>12.933490262398934</v>
      </c>
      <c r="I951">
        <f t="shared" si="58"/>
        <v>8.3733517619989399</v>
      </c>
    </row>
    <row r="952" spans="1:9" x14ac:dyDescent="0.25">
      <c r="A952" t="s">
        <v>311</v>
      </c>
      <c r="B952" t="str">
        <f t="shared" si="59"/>
        <v>Twin202Ultra0.87100</v>
      </c>
      <c r="C952">
        <v>0.87</v>
      </c>
      <c r="D952">
        <v>100</v>
      </c>
      <c r="E952">
        <v>1.1774144813316776</v>
      </c>
      <c r="F952">
        <v>53.035200000000003</v>
      </c>
      <c r="G952">
        <f t="shared" si="56"/>
        <v>13.679677549788082</v>
      </c>
      <c r="H952">
        <f t="shared" si="57"/>
        <v>13.627482422820341</v>
      </c>
      <c r="I952">
        <f t="shared" si="58"/>
        <v>8.6070338796101034</v>
      </c>
    </row>
    <row r="953" spans="1:9" x14ac:dyDescent="0.25">
      <c r="A953" t="s">
        <v>311</v>
      </c>
      <c r="B953" t="str">
        <f t="shared" si="59"/>
        <v>Twin202Ultra0.87110</v>
      </c>
      <c r="C953">
        <v>0.87</v>
      </c>
      <c r="D953">
        <v>110</v>
      </c>
      <c r="E953">
        <v>1.2319244110229588</v>
      </c>
      <c r="F953">
        <v>54.711600000000004</v>
      </c>
      <c r="G953">
        <f t="shared" si="56"/>
        <v>14.140895375323126</v>
      </c>
      <c r="H953">
        <f t="shared" si="57"/>
        <v>14.258384386839801</v>
      </c>
      <c r="I953">
        <f t="shared" si="58"/>
        <v>8.7117850625834841</v>
      </c>
    </row>
    <row r="954" spans="1:9" x14ac:dyDescent="0.25">
      <c r="A954" t="s">
        <v>311</v>
      </c>
      <c r="B954" t="str">
        <f t="shared" si="59"/>
        <v>Twin202Ultra0.87120</v>
      </c>
      <c r="C954">
        <v>0.87</v>
      </c>
      <c r="D954">
        <v>120</v>
      </c>
      <c r="E954">
        <v>1.2918853336833684</v>
      </c>
      <c r="F954">
        <v>56.235600000000005</v>
      </c>
      <c r="G954">
        <f t="shared" si="56"/>
        <v>14.561716591044522</v>
      </c>
      <c r="H954">
        <f t="shared" si="57"/>
        <v>14.952376547261208</v>
      </c>
      <c r="I954">
        <f t="shared" si="58"/>
        <v>8.8717928659446645</v>
      </c>
    </row>
    <row r="955" spans="1:9" x14ac:dyDescent="0.25">
      <c r="A955" t="s">
        <v>311</v>
      </c>
      <c r="B955" t="str">
        <f t="shared" si="59"/>
        <v>Twin202Ultra0.87130</v>
      </c>
      <c r="C955">
        <v>0.87</v>
      </c>
      <c r="D955">
        <v>130</v>
      </c>
      <c r="E955">
        <v>1.3409442704055214</v>
      </c>
      <c r="F955">
        <v>57.454800000000006</v>
      </c>
      <c r="G955">
        <f t="shared" si="56"/>
        <v>14.899424272250286</v>
      </c>
      <c r="H955">
        <f t="shared" si="57"/>
        <v>15.52018831487872</v>
      </c>
      <c r="I955">
        <f t="shared" si="58"/>
        <v>8.9999737298775244</v>
      </c>
    </row>
    <row r="956" spans="1:9" x14ac:dyDescent="0.25">
      <c r="A956" t="s">
        <v>311</v>
      </c>
      <c r="B956" t="str">
        <f t="shared" si="59"/>
        <v>Twin202Ultra0.9440</v>
      </c>
      <c r="C956">
        <v>0.94</v>
      </c>
      <c r="D956">
        <v>40</v>
      </c>
      <c r="E956">
        <v>0.88851185396788623</v>
      </c>
      <c r="F956">
        <v>38.252400000000002</v>
      </c>
      <c r="G956">
        <f t="shared" si="56"/>
        <v>9.6890139591682427</v>
      </c>
      <c r="H956">
        <f t="shared" si="57"/>
        <v>10.283702013517201</v>
      </c>
      <c r="I956">
        <f t="shared" si="58"/>
        <v>9.1703021351014833</v>
      </c>
    </row>
    <row r="957" spans="1:9" x14ac:dyDescent="0.25">
      <c r="A957" t="s">
        <v>311</v>
      </c>
      <c r="B957" t="str">
        <f t="shared" si="59"/>
        <v>Twin202Ultra0.9450</v>
      </c>
      <c r="C957">
        <v>0.94</v>
      </c>
      <c r="D957">
        <v>50</v>
      </c>
      <c r="E957">
        <v>0.99208072038132078</v>
      </c>
      <c r="F957">
        <v>44.348400000000005</v>
      </c>
      <c r="G957">
        <f t="shared" si="56"/>
        <v>11.318012209573212</v>
      </c>
      <c r="H957">
        <f t="shared" si="57"/>
        <v>11.482415745154174</v>
      </c>
      <c r="I957">
        <f t="shared" si="58"/>
        <v>8.7655031821063112</v>
      </c>
    </row>
    <row r="958" spans="1:9" x14ac:dyDescent="0.25">
      <c r="A958" t="s">
        <v>311</v>
      </c>
      <c r="B958" t="str">
        <f t="shared" si="59"/>
        <v>Twin202Ultra0.9460</v>
      </c>
      <c r="C958">
        <v>0.94</v>
      </c>
      <c r="D958">
        <v>60</v>
      </c>
      <c r="E958">
        <v>1.0847476008564991</v>
      </c>
      <c r="F958">
        <v>48.3108</v>
      </c>
      <c r="G958">
        <f t="shared" si="56"/>
        <v>12.389382016827916</v>
      </c>
      <c r="H958">
        <f t="shared" si="57"/>
        <v>12.554949083987259</v>
      </c>
      <c r="I958">
        <f t="shared" si="58"/>
        <v>8.755461728302004</v>
      </c>
    </row>
    <row r="959" spans="1:9" x14ac:dyDescent="0.25">
      <c r="A959" t="s">
        <v>311</v>
      </c>
      <c r="B959" t="str">
        <f t="shared" si="59"/>
        <v>Twin202Ultra0.9470</v>
      </c>
      <c r="C959">
        <v>0.94</v>
      </c>
      <c r="D959">
        <v>70</v>
      </c>
      <c r="E959">
        <v>1.1719634883625494</v>
      </c>
      <c r="F959">
        <v>50.596800000000002</v>
      </c>
      <c r="G959">
        <f t="shared" si="56"/>
        <v>13.011967383986693</v>
      </c>
      <c r="H959">
        <f t="shared" si="57"/>
        <v>13.564392226418395</v>
      </c>
      <c r="I959">
        <f t="shared" si="58"/>
        <v>9.0068123733912664</v>
      </c>
    </row>
    <row r="960" spans="1:9" x14ac:dyDescent="0.25">
      <c r="A960" t="s">
        <v>311</v>
      </c>
      <c r="B960" t="str">
        <f t="shared" si="59"/>
        <v>Twin202Ultra0.9480</v>
      </c>
      <c r="C960">
        <v>0.94</v>
      </c>
      <c r="D960">
        <v>80</v>
      </c>
      <c r="E960">
        <v>1.2537283828994714</v>
      </c>
      <c r="F960">
        <v>52.273200000000003</v>
      </c>
      <c r="G960">
        <f t="shared" si="56"/>
        <v>13.470616810651691</v>
      </c>
      <c r="H960">
        <f t="shared" si="57"/>
        <v>14.510745172447585</v>
      </c>
      <c r="I960">
        <f t="shared" si="58"/>
        <v>9.3071341908271368</v>
      </c>
    </row>
    <row r="961" spans="1:9" x14ac:dyDescent="0.25">
      <c r="A961" t="s">
        <v>311</v>
      </c>
      <c r="B961" t="str">
        <f t="shared" si="59"/>
        <v>Twin202Ultra0.9490</v>
      </c>
      <c r="C961">
        <v>0.94</v>
      </c>
      <c r="D961">
        <v>90</v>
      </c>
      <c r="E961">
        <v>1.3300422844672655</v>
      </c>
      <c r="F961">
        <v>54.102000000000004</v>
      </c>
      <c r="G961">
        <f t="shared" si="56"/>
        <v>13.972975497945718</v>
      </c>
      <c r="H961">
        <f t="shared" si="57"/>
        <v>15.394007922074831</v>
      </c>
      <c r="I961">
        <f t="shared" si="58"/>
        <v>9.5186761378262332</v>
      </c>
    </row>
    <row r="962" spans="1:9" x14ac:dyDescent="0.25">
      <c r="A962" t="s">
        <v>311</v>
      </c>
      <c r="B962" t="str">
        <f t="shared" si="59"/>
        <v>Twin202Ultra0.94100</v>
      </c>
      <c r="C962">
        <v>0.94</v>
      </c>
      <c r="D962">
        <v>100</v>
      </c>
      <c r="E962">
        <v>1.4009051930659309</v>
      </c>
      <c r="F962">
        <v>55.778400000000005</v>
      </c>
      <c r="G962">
        <f t="shared" si="56"/>
        <v>14.435316997986448</v>
      </c>
      <c r="H962">
        <f t="shared" si="57"/>
        <v>16.214180475300125</v>
      </c>
      <c r="I962">
        <f t="shared" si="58"/>
        <v>9.7047068191252066</v>
      </c>
    </row>
    <row r="963" spans="1:9" x14ac:dyDescent="0.25">
      <c r="A963" t="s">
        <v>311</v>
      </c>
      <c r="B963" t="str">
        <f t="shared" si="59"/>
        <v>Twin202Ultra0.94110</v>
      </c>
      <c r="C963">
        <v>0.94</v>
      </c>
      <c r="D963">
        <v>110</v>
      </c>
      <c r="E963">
        <v>1.4717681016645967</v>
      </c>
      <c r="F963">
        <v>57.454800000000006</v>
      </c>
      <c r="G963">
        <f t="shared" ref="G963:G1026" si="60">(PI()*(G$1+F963)^2)/10000-((PI()*(G$1)^2)/10000)</f>
        <v>14.899424272250286</v>
      </c>
      <c r="H963">
        <f t="shared" ref="H963:H1026" si="61">E963/0.0864</f>
        <v>17.034353028525423</v>
      </c>
      <c r="I963">
        <f t="shared" ref="I963:I1026" si="62">E963/G963*100</f>
        <v>9.8780199474265533</v>
      </c>
    </row>
    <row r="964" spans="1:9" x14ac:dyDescent="0.25">
      <c r="A964" t="s">
        <v>311</v>
      </c>
      <c r="B964" t="str">
        <f t="shared" si="59"/>
        <v>Twin202Ultra0.94120</v>
      </c>
      <c r="C964">
        <v>0.94</v>
      </c>
      <c r="D964">
        <v>120</v>
      </c>
      <c r="E964">
        <v>1.5317290243250063</v>
      </c>
      <c r="F964">
        <v>59.1312</v>
      </c>
      <c r="G964">
        <f t="shared" si="60"/>
        <v>15.365297320737312</v>
      </c>
      <c r="H964">
        <f t="shared" si="61"/>
        <v>17.728345188946832</v>
      </c>
      <c r="I964">
        <f t="shared" si="62"/>
        <v>9.9687561675604819</v>
      </c>
    </row>
    <row r="965" spans="1:9" x14ac:dyDescent="0.25">
      <c r="A965" t="s">
        <v>311</v>
      </c>
      <c r="B965" t="str">
        <f t="shared" si="59"/>
        <v>Twin202Ultra0.94130</v>
      </c>
      <c r="C965">
        <v>0.94</v>
      </c>
      <c r="D965">
        <v>130</v>
      </c>
      <c r="E965">
        <v>1.597140939954544</v>
      </c>
      <c r="F965">
        <v>60.502800000000001</v>
      </c>
      <c r="G965">
        <f t="shared" si="60"/>
        <v>15.747779564376145</v>
      </c>
      <c r="H965">
        <f t="shared" si="61"/>
        <v>18.485427545770182</v>
      </c>
      <c r="I965">
        <f t="shared" si="62"/>
        <v>10.14200721711598</v>
      </c>
    </row>
    <row r="966" spans="1:9" x14ac:dyDescent="0.25">
      <c r="A966" t="s">
        <v>311</v>
      </c>
      <c r="B966" t="str">
        <f t="shared" si="59"/>
        <v>Twin202Ultra1.0240</v>
      </c>
      <c r="C966">
        <v>1.02</v>
      </c>
      <c r="D966">
        <v>40</v>
      </c>
      <c r="E966">
        <v>1.0465906500726021</v>
      </c>
      <c r="F966">
        <v>39.319200000000002</v>
      </c>
      <c r="G966">
        <f t="shared" si="60"/>
        <v>9.9724031412306431</v>
      </c>
      <c r="H966">
        <f t="shared" si="61"/>
        <v>12.113317709173634</v>
      </c>
      <c r="I966">
        <f t="shared" si="62"/>
        <v>10.494869042603183</v>
      </c>
    </row>
    <row r="967" spans="1:9" x14ac:dyDescent="0.25">
      <c r="A967" t="s">
        <v>311</v>
      </c>
      <c r="B967" t="str">
        <f t="shared" si="59"/>
        <v>Twin202Ultra1.0250</v>
      </c>
      <c r="C967">
        <v>1.02</v>
      </c>
      <c r="D967">
        <v>50</v>
      </c>
      <c r="E967">
        <v>1.1719634883625494</v>
      </c>
      <c r="F967">
        <v>46.329599999999999</v>
      </c>
      <c r="G967">
        <f t="shared" si="60"/>
        <v>11.852463989879446</v>
      </c>
      <c r="H967">
        <f t="shared" si="61"/>
        <v>13.564392226418395</v>
      </c>
      <c r="I967">
        <f t="shared" si="62"/>
        <v>9.887931229854507</v>
      </c>
    </row>
    <row r="968" spans="1:9" x14ac:dyDescent="0.25">
      <c r="A968" t="s">
        <v>311</v>
      </c>
      <c r="B968" t="str">
        <f t="shared" si="59"/>
        <v>Twin202Ultra1.0260</v>
      </c>
      <c r="C968">
        <v>1.02</v>
      </c>
      <c r="D968">
        <v>60</v>
      </c>
      <c r="E968">
        <v>1.280983347745112</v>
      </c>
      <c r="F968">
        <v>50.596800000000002</v>
      </c>
      <c r="G968">
        <f t="shared" si="60"/>
        <v>13.011967383986693</v>
      </c>
      <c r="H968">
        <f t="shared" si="61"/>
        <v>14.826196154457314</v>
      </c>
      <c r="I968">
        <f t="shared" si="62"/>
        <v>9.8446553848695224</v>
      </c>
    </row>
    <row r="969" spans="1:9" x14ac:dyDescent="0.25">
      <c r="A969" t="s">
        <v>311</v>
      </c>
      <c r="B969" t="str">
        <f t="shared" si="59"/>
        <v>Twin202Ultra1.0270</v>
      </c>
      <c r="C969">
        <v>1.02</v>
      </c>
      <c r="D969">
        <v>70</v>
      </c>
      <c r="E969">
        <v>1.3845522141585465</v>
      </c>
      <c r="F969">
        <v>53.035200000000003</v>
      </c>
      <c r="G969">
        <f t="shared" si="60"/>
        <v>13.679677549788082</v>
      </c>
      <c r="H969">
        <f t="shared" si="61"/>
        <v>16.024909886094285</v>
      </c>
      <c r="I969">
        <f t="shared" si="62"/>
        <v>10.121234284356325</v>
      </c>
    </row>
    <row r="970" spans="1:9" x14ac:dyDescent="0.25">
      <c r="A970" t="s">
        <v>311</v>
      </c>
      <c r="B970" t="str">
        <f t="shared" si="59"/>
        <v>Twin202Ultra1.0280</v>
      </c>
      <c r="C970">
        <v>1.02</v>
      </c>
      <c r="D970">
        <v>80</v>
      </c>
      <c r="E970">
        <v>1.4826700876028531</v>
      </c>
      <c r="F970">
        <v>55.016400000000004</v>
      </c>
      <c r="G970">
        <f t="shared" si="60"/>
        <v>14.224942873064229</v>
      </c>
      <c r="H970">
        <f t="shared" si="61"/>
        <v>17.160533421329319</v>
      </c>
      <c r="I970">
        <f t="shared" si="62"/>
        <v>10.423030171955043</v>
      </c>
    </row>
    <row r="971" spans="1:9" x14ac:dyDescent="0.25">
      <c r="A971" t="s">
        <v>311</v>
      </c>
      <c r="B971" t="str">
        <f t="shared" si="59"/>
        <v>Twin202Ultra1.0290</v>
      </c>
      <c r="C971">
        <v>1.02</v>
      </c>
      <c r="D971">
        <v>90</v>
      </c>
      <c r="E971">
        <v>1.5698859751089032</v>
      </c>
      <c r="F971">
        <v>56.997600000000006</v>
      </c>
      <c r="G971">
        <f t="shared" si="60"/>
        <v>14.772674442982655</v>
      </c>
      <c r="H971">
        <f t="shared" si="61"/>
        <v>18.169976563760454</v>
      </c>
      <c r="I971">
        <f t="shared" si="62"/>
        <v>10.626958450672644</v>
      </c>
    </row>
    <row r="972" spans="1:9" x14ac:dyDescent="0.25">
      <c r="A972" t="s">
        <v>311</v>
      </c>
      <c r="B972" t="str">
        <f t="shared" si="59"/>
        <v>Twin202Ultra1.02100</v>
      </c>
      <c r="C972">
        <v>1.02</v>
      </c>
      <c r="D972">
        <v>100</v>
      </c>
      <c r="E972">
        <v>1.6571018626149534</v>
      </c>
      <c r="F972">
        <v>58.673999999999999</v>
      </c>
      <c r="G972">
        <f t="shared" si="60"/>
        <v>15.238065916681528</v>
      </c>
      <c r="H972">
        <f t="shared" si="61"/>
        <v>19.179419706191588</v>
      </c>
      <c r="I972">
        <f t="shared" si="62"/>
        <v>10.874751898801531</v>
      </c>
    </row>
    <row r="973" spans="1:9" x14ac:dyDescent="0.25">
      <c r="A973" t="s">
        <v>311</v>
      </c>
      <c r="B973" t="str">
        <f t="shared" si="59"/>
        <v>Twin202Ultra1.02110</v>
      </c>
      <c r="C973">
        <v>1.02</v>
      </c>
      <c r="D973">
        <v>110</v>
      </c>
      <c r="E973">
        <v>1.7388667571518754</v>
      </c>
      <c r="F973">
        <v>60.3504</v>
      </c>
      <c r="G973">
        <f t="shared" si="60"/>
        <v>15.705223164603574</v>
      </c>
      <c r="H973">
        <f t="shared" si="61"/>
        <v>20.125772652220778</v>
      </c>
      <c r="I973">
        <f t="shared" si="62"/>
        <v>11.071900977955746</v>
      </c>
    </row>
    <row r="974" spans="1:9" x14ac:dyDescent="0.25">
      <c r="A974" t="s">
        <v>311</v>
      </c>
      <c r="B974" t="str">
        <f t="shared" si="59"/>
        <v>Twin202Ultra1.02120</v>
      </c>
      <c r="C974">
        <v>1.02</v>
      </c>
      <c r="D974">
        <v>120</v>
      </c>
      <c r="E974">
        <v>1.8151806587196695</v>
      </c>
      <c r="F974">
        <v>62.026800000000001</v>
      </c>
      <c r="G974">
        <f t="shared" si="60"/>
        <v>16.174146186748786</v>
      </c>
      <c r="H974">
        <f t="shared" si="61"/>
        <v>21.009035401848024</v>
      </c>
      <c r="I974">
        <f t="shared" si="62"/>
        <v>11.222729396416717</v>
      </c>
    </row>
    <row r="975" spans="1:9" x14ac:dyDescent="0.25">
      <c r="A975" t="s">
        <v>311</v>
      </c>
      <c r="B975" t="str">
        <f t="shared" si="59"/>
        <v>Twin202Ultra1.02130</v>
      </c>
      <c r="C975">
        <v>1.02</v>
      </c>
      <c r="D975">
        <v>130</v>
      </c>
      <c r="E975">
        <v>1.8914945602874631</v>
      </c>
      <c r="F975">
        <v>63.246000000000002</v>
      </c>
      <c r="G975">
        <f t="shared" si="60"/>
        <v>16.516290193275559</v>
      </c>
      <c r="H975">
        <f t="shared" si="61"/>
        <v>21.892298151475266</v>
      </c>
      <c r="I975">
        <f t="shared" si="62"/>
        <v>11.452296721315577</v>
      </c>
    </row>
    <row r="976" spans="1:9" x14ac:dyDescent="0.25">
      <c r="A976" t="s">
        <v>311</v>
      </c>
      <c r="B976" t="str">
        <f t="shared" si="59"/>
        <v>Twin202Ultra1.140</v>
      </c>
      <c r="C976">
        <v>1.1000000000000001</v>
      </c>
      <c r="D976">
        <v>40</v>
      </c>
      <c r="E976">
        <v>1.2101204391464464</v>
      </c>
      <c r="F976">
        <v>40.386000000000003</v>
      </c>
      <c r="G976">
        <f t="shared" si="60"/>
        <v>10.256507388887542</v>
      </c>
      <c r="H976">
        <f t="shared" si="61"/>
        <v>14.006023601232018</v>
      </c>
      <c r="I976">
        <f t="shared" si="62"/>
        <v>11.798562544376038</v>
      </c>
    </row>
    <row r="977" spans="1:9" x14ac:dyDescent="0.25">
      <c r="A977" t="s">
        <v>311</v>
      </c>
      <c r="B977" t="str">
        <f t="shared" si="59"/>
        <v>Twin202Ultra1.150</v>
      </c>
      <c r="C977">
        <v>1.1000000000000001</v>
      </c>
      <c r="D977">
        <v>50</v>
      </c>
      <c r="E977">
        <v>1.3518462563437776</v>
      </c>
      <c r="F977">
        <v>48.1584</v>
      </c>
      <c r="G977">
        <f t="shared" si="60"/>
        <v>12.347993071087203</v>
      </c>
      <c r="H977">
        <f t="shared" si="61"/>
        <v>15.64636870768261</v>
      </c>
      <c r="I977">
        <f t="shared" si="62"/>
        <v>10.947902615115023</v>
      </c>
    </row>
    <row r="978" spans="1:9" x14ac:dyDescent="0.25">
      <c r="A978" t="s">
        <v>311</v>
      </c>
      <c r="B978" t="str">
        <f t="shared" si="59"/>
        <v>Twin202Ultra1.160</v>
      </c>
      <c r="C978">
        <v>1.1000000000000001</v>
      </c>
      <c r="D978">
        <v>60</v>
      </c>
      <c r="E978">
        <v>1.4826700876028531</v>
      </c>
      <c r="F978">
        <v>52.882800000000003</v>
      </c>
      <c r="G978">
        <f t="shared" si="60"/>
        <v>13.637836215609994</v>
      </c>
      <c r="H978">
        <f t="shared" si="61"/>
        <v>17.160533421329319</v>
      </c>
      <c r="I978">
        <f t="shared" si="62"/>
        <v>10.871739945855746</v>
      </c>
    </row>
    <row r="979" spans="1:9" x14ac:dyDescent="0.25">
      <c r="A979" t="s">
        <v>311</v>
      </c>
      <c r="B979" t="str">
        <f t="shared" si="59"/>
        <v>Twin202Ultra1.170</v>
      </c>
      <c r="C979">
        <v>1.1000000000000001</v>
      </c>
      <c r="D979">
        <v>70</v>
      </c>
      <c r="E979">
        <v>1.602591932923672</v>
      </c>
      <c r="F979">
        <v>55.626000000000005</v>
      </c>
      <c r="G979">
        <f t="shared" si="60"/>
        <v>14.393212986651186</v>
      </c>
      <c r="H979">
        <f t="shared" si="61"/>
        <v>18.548517742172127</v>
      </c>
      <c r="I979">
        <f t="shared" si="62"/>
        <v>11.134358495285083</v>
      </c>
    </row>
    <row r="980" spans="1:9" x14ac:dyDescent="0.25">
      <c r="A980" t="s">
        <v>311</v>
      </c>
      <c r="B980" t="str">
        <f t="shared" si="59"/>
        <v>Twin202Ultra1.180</v>
      </c>
      <c r="C980">
        <v>1.1000000000000001</v>
      </c>
      <c r="D980">
        <v>80</v>
      </c>
      <c r="E980">
        <v>1.7116117923062348</v>
      </c>
      <c r="F980">
        <v>57.912000000000006</v>
      </c>
      <c r="G980">
        <f t="shared" si="60"/>
        <v>15.026305440096543</v>
      </c>
      <c r="H980">
        <f t="shared" si="61"/>
        <v>19.810321670211049</v>
      </c>
      <c r="I980">
        <f t="shared" si="62"/>
        <v>11.390769335347931</v>
      </c>
    </row>
    <row r="981" spans="1:9" x14ac:dyDescent="0.25">
      <c r="A981" t="s">
        <v>311</v>
      </c>
      <c r="B981" t="str">
        <f t="shared" si="59"/>
        <v>Twin202Ultra1.190</v>
      </c>
      <c r="C981">
        <v>1.1000000000000001</v>
      </c>
      <c r="D981">
        <v>90</v>
      </c>
      <c r="E981">
        <v>1.8151806587196695</v>
      </c>
      <c r="F981">
        <v>59.8932</v>
      </c>
      <c r="G981">
        <f t="shared" si="60"/>
        <v>15.577641524338254</v>
      </c>
      <c r="H981">
        <f t="shared" si="61"/>
        <v>21.009035401848024</v>
      </c>
      <c r="I981">
        <f t="shared" si="62"/>
        <v>11.652474194400101</v>
      </c>
    </row>
    <row r="982" spans="1:9" x14ac:dyDescent="0.25">
      <c r="A982" t="s">
        <v>311</v>
      </c>
      <c r="B982" t="str">
        <f t="shared" si="59"/>
        <v>Twin202Ultra1.1100</v>
      </c>
      <c r="C982">
        <v>1.1000000000000001</v>
      </c>
      <c r="D982">
        <v>100</v>
      </c>
      <c r="E982">
        <v>1.9132985321639757</v>
      </c>
      <c r="F982">
        <v>61.569600000000001</v>
      </c>
      <c r="G982">
        <f t="shared" si="60"/>
        <v>16.04608297169532</v>
      </c>
      <c r="H982">
        <f t="shared" si="61"/>
        <v>22.144658937083051</v>
      </c>
      <c r="I982">
        <f t="shared" si="62"/>
        <v>11.923773144754152</v>
      </c>
    </row>
    <row r="983" spans="1:9" x14ac:dyDescent="0.25">
      <c r="A983" t="s">
        <v>311</v>
      </c>
      <c r="B983" t="str">
        <f t="shared" si="59"/>
        <v>Twin202Ultra1.1110</v>
      </c>
      <c r="C983">
        <v>1.1000000000000001</v>
      </c>
      <c r="D983">
        <v>110</v>
      </c>
      <c r="E983">
        <v>2.0059654126391542</v>
      </c>
      <c r="F983">
        <v>63.246000000000002</v>
      </c>
      <c r="G983">
        <f t="shared" si="60"/>
        <v>16.516290193275559</v>
      </c>
      <c r="H983">
        <f t="shared" si="61"/>
        <v>23.217192275916133</v>
      </c>
      <c r="I983">
        <f t="shared" si="62"/>
        <v>12.145375197245341</v>
      </c>
    </row>
    <row r="984" spans="1:9" x14ac:dyDescent="0.25">
      <c r="A984" t="s">
        <v>311</v>
      </c>
      <c r="B984" t="str">
        <f t="shared" si="59"/>
        <v>Twin202Ultra1.1120</v>
      </c>
      <c r="C984">
        <v>1.1000000000000001</v>
      </c>
      <c r="D984">
        <v>120</v>
      </c>
      <c r="E984">
        <v>2.0931813001452042</v>
      </c>
      <c r="F984">
        <v>64.77000000000001</v>
      </c>
      <c r="G984">
        <f t="shared" si="60"/>
        <v>16.945283587219819</v>
      </c>
      <c r="H984">
        <f t="shared" si="61"/>
        <v>24.226635418347268</v>
      </c>
      <c r="I984">
        <f t="shared" si="62"/>
        <v>12.352589376101603</v>
      </c>
    </row>
    <row r="985" spans="1:9" x14ac:dyDescent="0.25">
      <c r="A985" t="s">
        <v>311</v>
      </c>
      <c r="B985" t="str">
        <f t="shared" si="59"/>
        <v>Twin202Ultra1.1130</v>
      </c>
      <c r="C985">
        <v>1.1000000000000001</v>
      </c>
      <c r="D985">
        <v>130</v>
      </c>
      <c r="E985">
        <v>2.1803971876512547</v>
      </c>
      <c r="F985">
        <v>65.989199999999997</v>
      </c>
      <c r="G985">
        <f t="shared" si="60"/>
        <v>17.2895290110039</v>
      </c>
      <c r="H985">
        <f t="shared" si="61"/>
        <v>25.236078560778409</v>
      </c>
      <c r="I985">
        <f t="shared" si="62"/>
        <v>12.611084930442834</v>
      </c>
    </row>
    <row r="986" spans="1:9" x14ac:dyDescent="0.25">
      <c r="A986" t="s">
        <v>311</v>
      </c>
      <c r="B986" t="str">
        <f t="shared" si="59"/>
        <v>Twin202Ultra1.1840</v>
      </c>
      <c r="C986">
        <v>1.18</v>
      </c>
      <c r="D986">
        <v>40</v>
      </c>
      <c r="E986">
        <v>1.3900032071276747</v>
      </c>
      <c r="F986">
        <v>41.910000000000004</v>
      </c>
      <c r="G986">
        <f t="shared" si="60"/>
        <v>10.663611019734802</v>
      </c>
      <c r="H986">
        <f t="shared" si="61"/>
        <v>16.088000082496233</v>
      </c>
      <c r="I986">
        <f t="shared" si="62"/>
        <v>13.035014166920009</v>
      </c>
    </row>
    <row r="987" spans="1:9" x14ac:dyDescent="0.25">
      <c r="A987" t="s">
        <v>311</v>
      </c>
      <c r="B987" t="str">
        <f t="shared" si="59"/>
        <v>Twin202Ultra1.1850</v>
      </c>
      <c r="C987">
        <v>1.18</v>
      </c>
      <c r="D987">
        <v>50</v>
      </c>
      <c r="E987">
        <v>1.5535329962015187</v>
      </c>
      <c r="F987">
        <v>49.225200000000001</v>
      </c>
      <c r="G987">
        <f t="shared" si="60"/>
        <v>12.638022147955681</v>
      </c>
      <c r="H987">
        <f t="shared" si="61"/>
        <v>17.980705974554613</v>
      </c>
      <c r="I987">
        <f t="shared" si="62"/>
        <v>12.292532629030227</v>
      </c>
    </row>
    <row r="988" spans="1:9" x14ac:dyDescent="0.25">
      <c r="A988" t="s">
        <v>311</v>
      </c>
      <c r="B988" t="str">
        <f t="shared" si="59"/>
        <v>Twin202Ultra1.1860</v>
      </c>
      <c r="C988">
        <v>1.18</v>
      </c>
      <c r="D988">
        <v>60</v>
      </c>
      <c r="E988">
        <v>1.7007098063679786</v>
      </c>
      <c r="F988">
        <v>54.406800000000004</v>
      </c>
      <c r="G988">
        <f t="shared" si="60"/>
        <v>14.056906250283632</v>
      </c>
      <c r="H988">
        <f t="shared" si="61"/>
        <v>19.684141277407161</v>
      </c>
      <c r="I988">
        <f t="shared" si="62"/>
        <v>12.098749014091652</v>
      </c>
    </row>
    <row r="989" spans="1:9" x14ac:dyDescent="0.25">
      <c r="A989" t="s">
        <v>311</v>
      </c>
      <c r="B989" t="str">
        <f t="shared" si="59"/>
        <v>Twin202Ultra1.1870</v>
      </c>
      <c r="C989">
        <v>1.18</v>
      </c>
      <c r="D989">
        <v>70</v>
      </c>
      <c r="E989">
        <v>1.8369846305961821</v>
      </c>
      <c r="F989">
        <v>57.912000000000006</v>
      </c>
      <c r="G989">
        <f t="shared" si="60"/>
        <v>15.026305440096543</v>
      </c>
      <c r="H989">
        <f t="shared" si="61"/>
        <v>21.261396187455809</v>
      </c>
      <c r="I989">
        <f t="shared" si="62"/>
        <v>12.225125050994436</v>
      </c>
    </row>
    <row r="990" spans="1:9" x14ac:dyDescent="0.25">
      <c r="A990" t="s">
        <v>311</v>
      </c>
      <c r="B990" t="str">
        <f t="shared" si="59"/>
        <v>Twin202Ultra1.1880</v>
      </c>
      <c r="C990">
        <v>1.18</v>
      </c>
      <c r="D990">
        <v>80</v>
      </c>
      <c r="E990">
        <v>1.9623574688861289</v>
      </c>
      <c r="F990">
        <v>60.3504</v>
      </c>
      <c r="G990">
        <f t="shared" si="60"/>
        <v>15.705223164603574</v>
      </c>
      <c r="H990">
        <f t="shared" si="61"/>
        <v>22.712470704700564</v>
      </c>
      <c r="I990">
        <f t="shared" si="62"/>
        <v>12.494935272928114</v>
      </c>
    </row>
    <row r="991" spans="1:9" x14ac:dyDescent="0.25">
      <c r="A991" t="s">
        <v>311</v>
      </c>
      <c r="B991" t="str">
        <f t="shared" si="59"/>
        <v>Twin202Ultra1.1890</v>
      </c>
      <c r="C991">
        <v>1.18</v>
      </c>
      <c r="D991">
        <v>90</v>
      </c>
      <c r="E991">
        <v>2.0822793142069482</v>
      </c>
      <c r="F991">
        <v>62.179200000000002</v>
      </c>
      <c r="G991">
        <f t="shared" si="60"/>
        <v>16.216863111450742</v>
      </c>
      <c r="H991">
        <f t="shared" si="61"/>
        <v>24.100455025543383</v>
      </c>
      <c r="I991">
        <f t="shared" si="62"/>
        <v>12.840210217576844</v>
      </c>
    </row>
    <row r="992" spans="1:9" x14ac:dyDescent="0.25">
      <c r="A992" t="s">
        <v>311</v>
      </c>
      <c r="B992" t="str">
        <f t="shared" si="59"/>
        <v>Twin202Ultra1.18100</v>
      </c>
      <c r="C992">
        <v>1.18</v>
      </c>
      <c r="D992">
        <v>100</v>
      </c>
      <c r="E992">
        <v>2.1967501665586391</v>
      </c>
      <c r="F992">
        <v>64.00800000000001</v>
      </c>
      <c r="G992">
        <f t="shared" si="60"/>
        <v>16.730604475555225</v>
      </c>
      <c r="H992">
        <f t="shared" si="61"/>
        <v>25.425349149984246</v>
      </c>
      <c r="I992">
        <f t="shared" si="62"/>
        <v>13.13013029366793</v>
      </c>
    </row>
    <row r="993" spans="1:9" x14ac:dyDescent="0.25">
      <c r="A993" t="s">
        <v>311</v>
      </c>
      <c r="B993" t="str">
        <f t="shared" si="59"/>
        <v>Twin202Ultra1.18110</v>
      </c>
      <c r="C993">
        <v>1.18</v>
      </c>
      <c r="D993">
        <v>110</v>
      </c>
      <c r="E993">
        <v>2.3057700259412015</v>
      </c>
      <c r="F993">
        <v>65.684399999999997</v>
      </c>
      <c r="G993">
        <f t="shared" si="60"/>
        <v>17.203380096005496</v>
      </c>
      <c r="H993">
        <f t="shared" si="61"/>
        <v>26.687153078023165</v>
      </c>
      <c r="I993">
        <f t="shared" si="62"/>
        <v>13.40300576441129</v>
      </c>
    </row>
    <row r="994" spans="1:9" x14ac:dyDescent="0.25">
      <c r="A994" t="s">
        <v>311</v>
      </c>
      <c r="B994" t="str">
        <f t="shared" si="59"/>
        <v>Twin202Ultra1.18120</v>
      </c>
      <c r="C994">
        <v>1.18</v>
      </c>
      <c r="D994">
        <v>120</v>
      </c>
      <c r="E994">
        <v>2.4038878993855084</v>
      </c>
      <c r="F994">
        <v>67.360799999999998</v>
      </c>
      <c r="G994">
        <f t="shared" si="60"/>
        <v>17.677921490678926</v>
      </c>
      <c r="H994">
        <f t="shared" si="61"/>
        <v>27.822776613258199</v>
      </c>
      <c r="I994">
        <f t="shared" si="62"/>
        <v>13.5982496621733</v>
      </c>
    </row>
    <row r="995" spans="1:9" x14ac:dyDescent="0.25">
      <c r="A995" t="s">
        <v>311</v>
      </c>
      <c r="B995" t="str">
        <f t="shared" si="59"/>
        <v>Twin202Ultra1.18130</v>
      </c>
      <c r="C995">
        <v>1.18</v>
      </c>
      <c r="D995">
        <v>130</v>
      </c>
      <c r="E995">
        <v>2.5074567657989428</v>
      </c>
      <c r="F995">
        <v>68.427599999999998</v>
      </c>
      <c r="G995">
        <f t="shared" si="60"/>
        <v>17.980821748248474</v>
      </c>
      <c r="H995">
        <f t="shared" si="61"/>
        <v>29.02149034489517</v>
      </c>
      <c r="I995">
        <f t="shared" si="62"/>
        <v>13.945173368081445</v>
      </c>
    </row>
    <row r="996" spans="1:9" x14ac:dyDescent="0.25">
      <c r="A996" t="s">
        <v>311</v>
      </c>
      <c r="B996" t="str">
        <f t="shared" si="59"/>
        <v>Twin202Ultra1.2640</v>
      </c>
      <c r="C996">
        <v>1.26</v>
      </c>
      <c r="D996">
        <v>40</v>
      </c>
      <c r="E996">
        <v>1.5916899469854158</v>
      </c>
      <c r="F996">
        <v>43.281600000000005</v>
      </c>
      <c r="G996">
        <f t="shared" si="60"/>
        <v>11.031252003993885</v>
      </c>
      <c r="H996">
        <f t="shared" si="61"/>
        <v>18.422337349368238</v>
      </c>
      <c r="I996">
        <f t="shared" si="62"/>
        <v>14.428914745208809</v>
      </c>
    </row>
    <row r="997" spans="1:9" x14ac:dyDescent="0.25">
      <c r="A997" t="s">
        <v>311</v>
      </c>
      <c r="B997" t="str">
        <f t="shared" si="59"/>
        <v>Twin202Ultra1.2650</v>
      </c>
      <c r="C997">
        <v>1.26</v>
      </c>
      <c r="D997">
        <v>50</v>
      </c>
      <c r="E997">
        <v>1.7770237079357725</v>
      </c>
      <c r="F997">
        <v>50.444400000000002</v>
      </c>
      <c r="G997">
        <f t="shared" si="60"/>
        <v>12.970359540614986</v>
      </c>
      <c r="H997">
        <f t="shared" si="61"/>
        <v>20.567404027034403</v>
      </c>
      <c r="I997">
        <f t="shared" si="62"/>
        <v>13.700651106634746</v>
      </c>
    </row>
    <row r="998" spans="1:9" x14ac:dyDescent="0.25">
      <c r="A998" t="s">
        <v>311</v>
      </c>
      <c r="B998" t="str">
        <f t="shared" ref="B998:B1061" si="63">A998&amp;C998&amp;D998</f>
        <v>Twin202Ultra1.2660</v>
      </c>
      <c r="C998">
        <v>1.26</v>
      </c>
      <c r="D998">
        <v>60</v>
      </c>
      <c r="E998">
        <v>1.9460044899787445</v>
      </c>
      <c r="F998">
        <v>56.083200000000005</v>
      </c>
      <c r="G998">
        <f t="shared" si="60"/>
        <v>14.519568800183116</v>
      </c>
      <c r="H998">
        <f t="shared" si="61"/>
        <v>22.523200115494728</v>
      </c>
      <c r="I998">
        <f t="shared" si="62"/>
        <v>13.40263279687894</v>
      </c>
    </row>
    <row r="999" spans="1:9" x14ac:dyDescent="0.25">
      <c r="A999" t="s">
        <v>311</v>
      </c>
      <c r="B999" t="str">
        <f t="shared" si="63"/>
        <v>Twin202Ultra1.2670</v>
      </c>
      <c r="C999">
        <v>1.26</v>
      </c>
      <c r="D999">
        <v>70</v>
      </c>
      <c r="E999">
        <v>2.1040832860834606</v>
      </c>
      <c r="F999">
        <v>60.198</v>
      </c>
      <c r="G999">
        <f t="shared" si="60"/>
        <v>15.662681358006409</v>
      </c>
      <c r="H999">
        <f t="shared" si="61"/>
        <v>24.352815811151164</v>
      </c>
      <c r="I999">
        <f t="shared" si="62"/>
        <v>13.43373613999943</v>
      </c>
    </row>
    <row r="1000" spans="1:9" x14ac:dyDescent="0.25">
      <c r="A1000" t="s">
        <v>311</v>
      </c>
      <c r="B1000" t="str">
        <f t="shared" si="63"/>
        <v>Twin202Ultra1.2680</v>
      </c>
      <c r="C1000">
        <v>1.26</v>
      </c>
      <c r="D1000">
        <v>80</v>
      </c>
      <c r="E1000">
        <v>2.2458091032807923</v>
      </c>
      <c r="F1000">
        <v>62.788800000000002</v>
      </c>
      <c r="G1000">
        <f t="shared" si="60"/>
        <v>16.38787674201253</v>
      </c>
      <c r="H1000">
        <f t="shared" si="61"/>
        <v>25.993160917601763</v>
      </c>
      <c r="I1000">
        <f t="shared" si="62"/>
        <v>13.704088324775826</v>
      </c>
    </row>
    <row r="1001" spans="1:9" x14ac:dyDescent="0.25">
      <c r="A1001" t="s">
        <v>311</v>
      </c>
      <c r="B1001" t="str">
        <f t="shared" si="63"/>
        <v>Twin202Ultra1.2690</v>
      </c>
      <c r="C1001">
        <v>1.26</v>
      </c>
      <c r="D1001">
        <v>90</v>
      </c>
      <c r="E1001">
        <v>2.3820839275089956</v>
      </c>
      <c r="F1001">
        <v>64.61760000000001</v>
      </c>
      <c r="G1001">
        <f t="shared" si="60"/>
        <v>16.902318578536118</v>
      </c>
      <c r="H1001">
        <f t="shared" si="61"/>
        <v>27.570415827650411</v>
      </c>
      <c r="I1001">
        <f t="shared" si="62"/>
        <v>14.093237661097877</v>
      </c>
    </row>
    <row r="1002" spans="1:9" x14ac:dyDescent="0.25">
      <c r="A1002" t="s">
        <v>311</v>
      </c>
      <c r="B1002" t="str">
        <f t="shared" si="63"/>
        <v>Twin202Ultra1.26100</v>
      </c>
      <c r="C1002">
        <v>1.26</v>
      </c>
      <c r="D1002">
        <v>100</v>
      </c>
      <c r="E1002">
        <v>2.5129077587680708</v>
      </c>
      <c r="F1002">
        <v>66.446399999999997</v>
      </c>
      <c r="G1002">
        <f t="shared" si="60"/>
        <v>17.418861832316999</v>
      </c>
      <c r="H1002">
        <f t="shared" si="61"/>
        <v>29.084580541297115</v>
      </c>
      <c r="I1002">
        <f t="shared" si="62"/>
        <v>14.426360246488116</v>
      </c>
    </row>
    <row r="1003" spans="1:9" x14ac:dyDescent="0.25">
      <c r="A1003" t="s">
        <v>311</v>
      </c>
      <c r="B1003" t="str">
        <f t="shared" si="63"/>
        <v>Twin202Ultra1.26110</v>
      </c>
      <c r="C1003">
        <v>1.26</v>
      </c>
      <c r="D1003">
        <v>110</v>
      </c>
      <c r="E1003">
        <v>2.6382805970580181</v>
      </c>
      <c r="F1003">
        <v>68.275199999999998</v>
      </c>
      <c r="G1003">
        <f t="shared" si="60"/>
        <v>17.937506503355195</v>
      </c>
      <c r="H1003">
        <f t="shared" si="61"/>
        <v>30.535655058541874</v>
      </c>
      <c r="I1003">
        <f t="shared" si="62"/>
        <v>14.708179180671127</v>
      </c>
    </row>
    <row r="1004" spans="1:9" x14ac:dyDescent="0.25">
      <c r="A1004" t="s">
        <v>311</v>
      </c>
      <c r="B1004" t="str">
        <f t="shared" si="63"/>
        <v>Twin202Ultra1.26120</v>
      </c>
      <c r="C1004">
        <v>1.26</v>
      </c>
      <c r="D1004">
        <v>120</v>
      </c>
      <c r="E1004">
        <v>2.7527514494097085</v>
      </c>
      <c r="F1004">
        <v>69.799199999999999</v>
      </c>
      <c r="G1004">
        <f t="shared" si="60"/>
        <v>18.371315645180815</v>
      </c>
      <c r="H1004">
        <f t="shared" si="61"/>
        <v>31.860549182982737</v>
      </c>
      <c r="I1004">
        <f t="shared" si="62"/>
        <v>14.983964690257846</v>
      </c>
    </row>
    <row r="1005" spans="1:9" x14ac:dyDescent="0.25">
      <c r="A1005" t="s">
        <v>311</v>
      </c>
      <c r="B1005" t="str">
        <f t="shared" si="63"/>
        <v>Twin202Ultra1.26130</v>
      </c>
      <c r="C1005">
        <v>1.26</v>
      </c>
      <c r="D1005">
        <v>130</v>
      </c>
      <c r="E1005">
        <v>2.8672223017613994</v>
      </c>
      <c r="F1005">
        <v>71.0184</v>
      </c>
      <c r="G1005">
        <f t="shared" si="60"/>
        <v>18.719413667269961</v>
      </c>
      <c r="H1005">
        <f t="shared" si="61"/>
        <v>33.185443307423604</v>
      </c>
      <c r="I1005">
        <f t="shared" si="62"/>
        <v>15.316838191222873</v>
      </c>
    </row>
    <row r="1006" spans="1:9" x14ac:dyDescent="0.25">
      <c r="A1006" t="s">
        <v>311</v>
      </c>
      <c r="B1006" t="str">
        <f t="shared" si="63"/>
        <v>Twin202Ultra1.3440</v>
      </c>
      <c r="C1006">
        <v>1.34</v>
      </c>
      <c r="D1006">
        <v>40</v>
      </c>
      <c r="E1006">
        <v>1.7824747009049007</v>
      </c>
      <c r="F1006">
        <v>43.586400000000005</v>
      </c>
      <c r="G1006">
        <f t="shared" si="60"/>
        <v>11.113110525425263</v>
      </c>
      <c r="H1006">
        <f t="shared" si="61"/>
        <v>20.630494223436351</v>
      </c>
      <c r="I1006">
        <f t="shared" si="62"/>
        <v>16.039386064116293</v>
      </c>
    </row>
    <row r="1007" spans="1:9" x14ac:dyDescent="0.25">
      <c r="A1007" t="s">
        <v>311</v>
      </c>
      <c r="B1007" t="str">
        <f t="shared" si="63"/>
        <v>Twin202Ultra1.3450</v>
      </c>
      <c r="C1007">
        <v>1.34</v>
      </c>
      <c r="D1007">
        <v>50</v>
      </c>
      <c r="E1007">
        <v>1.9950634267008978</v>
      </c>
      <c r="F1007">
        <v>51.968400000000003</v>
      </c>
      <c r="G1007">
        <f t="shared" si="60"/>
        <v>13.387094667224929</v>
      </c>
      <c r="H1007">
        <f t="shared" si="61"/>
        <v>23.091011883112241</v>
      </c>
      <c r="I1007">
        <f t="shared" si="62"/>
        <v>14.902885773903796</v>
      </c>
    </row>
    <row r="1008" spans="1:9" x14ac:dyDescent="0.25">
      <c r="A1008" t="s">
        <v>311</v>
      </c>
      <c r="B1008" t="str">
        <f t="shared" si="63"/>
        <v>Twin202Ultra1.3460</v>
      </c>
      <c r="C1008">
        <v>1.34</v>
      </c>
      <c r="D1008">
        <v>60</v>
      </c>
      <c r="E1008">
        <v>2.1803971876512547</v>
      </c>
      <c r="F1008">
        <v>58.064400000000006</v>
      </c>
      <c r="G1008">
        <f t="shared" si="60"/>
        <v>15.068628349062728</v>
      </c>
      <c r="H1008">
        <f t="shared" si="61"/>
        <v>25.236078560778409</v>
      </c>
      <c r="I1008">
        <f t="shared" si="62"/>
        <v>14.4697787823991</v>
      </c>
    </row>
    <row r="1009" spans="1:9" x14ac:dyDescent="0.25">
      <c r="A1009" t="s">
        <v>311</v>
      </c>
      <c r="B1009" t="str">
        <f t="shared" si="63"/>
        <v>Twin202Ultra1.3470</v>
      </c>
      <c r="C1009">
        <v>1.34</v>
      </c>
      <c r="D1009">
        <v>70</v>
      </c>
      <c r="E1009">
        <v>2.3602799556324832</v>
      </c>
      <c r="F1009">
        <v>62.331600000000002</v>
      </c>
      <c r="G1009">
        <f t="shared" si="60"/>
        <v>16.259594629328092</v>
      </c>
      <c r="H1009">
        <f t="shared" si="61"/>
        <v>27.318055042042626</v>
      </c>
      <c r="I1009">
        <f t="shared" si="62"/>
        <v>14.516228783312657</v>
      </c>
    </row>
    <row r="1010" spans="1:9" x14ac:dyDescent="0.25">
      <c r="A1010" t="s">
        <v>311</v>
      </c>
      <c r="B1010" t="str">
        <f t="shared" si="63"/>
        <v>Twin202Ultra1.3480</v>
      </c>
      <c r="C1010">
        <v>1.34</v>
      </c>
      <c r="D1010">
        <v>80</v>
      </c>
      <c r="E1010">
        <v>2.5183587517371993</v>
      </c>
      <c r="F1010">
        <v>65.074799999999996</v>
      </c>
      <c r="G1010">
        <f t="shared" si="60"/>
        <v>17.031257384113466</v>
      </c>
      <c r="H1010">
        <f t="shared" si="61"/>
        <v>29.147670737699062</v>
      </c>
      <c r="I1010">
        <f t="shared" si="62"/>
        <v>14.786687177226804</v>
      </c>
    </row>
    <row r="1011" spans="1:9" x14ac:dyDescent="0.25">
      <c r="A1011" t="s">
        <v>311</v>
      </c>
      <c r="B1011" t="str">
        <f t="shared" si="63"/>
        <v>Twin202Ultra1.3490</v>
      </c>
      <c r="C1011">
        <v>1.34</v>
      </c>
      <c r="D1011">
        <v>90</v>
      </c>
      <c r="E1011">
        <v>2.6709865548727869</v>
      </c>
      <c r="F1011">
        <v>67.360799999999998</v>
      </c>
      <c r="G1011">
        <f t="shared" si="60"/>
        <v>17.677921490678926</v>
      </c>
      <c r="H1011">
        <f t="shared" si="61"/>
        <v>30.914196236953551</v>
      </c>
      <c r="I1011">
        <f t="shared" si="62"/>
        <v>15.109166291303666</v>
      </c>
    </row>
    <row r="1012" spans="1:9" x14ac:dyDescent="0.25">
      <c r="A1012" t="s">
        <v>311</v>
      </c>
      <c r="B1012" t="str">
        <f t="shared" si="63"/>
        <v>Twin202Ultra1.34100</v>
      </c>
      <c r="C1012">
        <v>1.34</v>
      </c>
      <c r="D1012">
        <v>100</v>
      </c>
      <c r="E1012">
        <v>2.8181633650392461</v>
      </c>
      <c r="F1012">
        <v>69.494399999999999</v>
      </c>
      <c r="G1012">
        <f t="shared" si="60"/>
        <v>18.284437071412512</v>
      </c>
      <c r="H1012">
        <f t="shared" si="61"/>
        <v>32.617631539806091</v>
      </c>
      <c r="I1012">
        <f t="shared" si="62"/>
        <v>15.412907458033857</v>
      </c>
    </row>
    <row r="1013" spans="1:9" x14ac:dyDescent="0.25">
      <c r="A1013" t="s">
        <v>311</v>
      </c>
      <c r="B1013" t="str">
        <f t="shared" si="63"/>
        <v>Twin202Ultra1.34110</v>
      </c>
      <c r="C1013">
        <v>1.34</v>
      </c>
      <c r="D1013">
        <v>110</v>
      </c>
      <c r="E1013">
        <v>2.9544381892674498</v>
      </c>
      <c r="F1013">
        <v>71.4756</v>
      </c>
      <c r="G1013">
        <f t="shared" si="60"/>
        <v>18.850191212947465</v>
      </c>
      <c r="H1013">
        <f t="shared" si="61"/>
        <v>34.194886449854742</v>
      </c>
      <c r="I1013">
        <f t="shared" si="62"/>
        <v>15.67325315638263</v>
      </c>
    </row>
    <row r="1014" spans="1:9" x14ac:dyDescent="0.25">
      <c r="A1014" t="s">
        <v>311</v>
      </c>
      <c r="B1014" t="str">
        <f t="shared" si="63"/>
        <v>Twin202Ultra1.34120</v>
      </c>
      <c r="C1014">
        <v>1.34</v>
      </c>
      <c r="D1014">
        <v>120</v>
      </c>
      <c r="E1014">
        <v>3.0852620205265251</v>
      </c>
      <c r="F1014">
        <v>73.152000000000001</v>
      </c>
      <c r="G1014">
        <f t="shared" si="60"/>
        <v>19.33083255493726</v>
      </c>
      <c r="H1014">
        <f t="shared" si="61"/>
        <v>35.709051163501449</v>
      </c>
      <c r="I1014">
        <f t="shared" si="62"/>
        <v>15.960316306906929</v>
      </c>
    </row>
    <row r="1015" spans="1:9" x14ac:dyDescent="0.25">
      <c r="A1015" t="s">
        <v>311</v>
      </c>
      <c r="B1015" t="str">
        <f t="shared" si="63"/>
        <v>Twin202Ultra1.34130</v>
      </c>
      <c r="C1015">
        <v>1.34</v>
      </c>
      <c r="D1015">
        <v>130</v>
      </c>
      <c r="E1015">
        <v>3.2106348588164724</v>
      </c>
      <c r="F1015">
        <v>74.218800000000002</v>
      </c>
      <c r="G1015">
        <f t="shared" si="60"/>
        <v>19.637614597162681</v>
      </c>
      <c r="H1015">
        <f t="shared" si="61"/>
        <v>37.160125680746205</v>
      </c>
      <c r="I1015">
        <f t="shared" si="62"/>
        <v>16.34941373826716</v>
      </c>
    </row>
    <row r="1016" spans="1:9" x14ac:dyDescent="0.25">
      <c r="A1016" t="s">
        <v>311</v>
      </c>
      <c r="B1016" t="str">
        <f t="shared" si="63"/>
        <v>Twin202Ultra1.4240</v>
      </c>
      <c r="C1016">
        <v>1.42</v>
      </c>
      <c r="D1016">
        <v>40</v>
      </c>
      <c r="E1016">
        <v>1.9950634267008978</v>
      </c>
      <c r="F1016">
        <v>43.891200000000005</v>
      </c>
      <c r="G1016">
        <f t="shared" si="60"/>
        <v>11.195027419558258</v>
      </c>
      <c r="H1016">
        <f t="shared" si="61"/>
        <v>23.091011883112241</v>
      </c>
      <c r="I1016">
        <f t="shared" si="62"/>
        <v>17.820978474920256</v>
      </c>
    </row>
    <row r="1017" spans="1:9" x14ac:dyDescent="0.25">
      <c r="A1017" t="s">
        <v>311</v>
      </c>
      <c r="B1017" t="str">
        <f t="shared" si="63"/>
        <v>Twin202Ultra1.4250</v>
      </c>
      <c r="C1017">
        <v>1.42</v>
      </c>
      <c r="D1017">
        <v>50</v>
      </c>
      <c r="E1017">
        <v>2.2294561243734079</v>
      </c>
      <c r="F1017">
        <v>53.34</v>
      </c>
      <c r="G1017">
        <f t="shared" si="60"/>
        <v>13.763403997670423</v>
      </c>
      <c r="H1017">
        <f t="shared" si="61"/>
        <v>25.803890328395923</v>
      </c>
      <c r="I1017">
        <f t="shared" si="62"/>
        <v>16.198435537827436</v>
      </c>
    </row>
    <row r="1018" spans="1:9" x14ac:dyDescent="0.25">
      <c r="A1018" t="s">
        <v>311</v>
      </c>
      <c r="B1018" t="str">
        <f t="shared" si="63"/>
        <v>Twin202Ultra1.4260</v>
      </c>
      <c r="C1018">
        <v>1.42</v>
      </c>
      <c r="D1018">
        <v>60</v>
      </c>
      <c r="E1018">
        <v>2.4474958431385332</v>
      </c>
      <c r="F1018">
        <v>59.8932</v>
      </c>
      <c r="G1018">
        <f t="shared" si="60"/>
        <v>15.577641524338254</v>
      </c>
      <c r="H1018">
        <f t="shared" si="61"/>
        <v>28.327498184473761</v>
      </c>
      <c r="I1018">
        <f t="shared" si="62"/>
        <v>15.711594334191126</v>
      </c>
    </row>
    <row r="1019" spans="1:9" x14ac:dyDescent="0.25">
      <c r="A1019" t="s">
        <v>311</v>
      </c>
      <c r="B1019" t="str">
        <f t="shared" si="63"/>
        <v>Twin202Ultra1.4270</v>
      </c>
      <c r="C1019">
        <v>1.42</v>
      </c>
      <c r="D1019">
        <v>70</v>
      </c>
      <c r="E1019">
        <v>2.6382805970580181</v>
      </c>
      <c r="F1019">
        <v>64.31280000000001</v>
      </c>
      <c r="G1019">
        <f t="shared" si="60"/>
        <v>16.816432340694881</v>
      </c>
      <c r="H1019">
        <f t="shared" si="61"/>
        <v>30.535655058541874</v>
      </c>
      <c r="I1019">
        <f t="shared" si="62"/>
        <v>15.688705806364872</v>
      </c>
    </row>
    <row r="1020" spans="1:9" x14ac:dyDescent="0.25">
      <c r="A1020" t="s">
        <v>311</v>
      </c>
      <c r="B1020" t="str">
        <f t="shared" si="63"/>
        <v>Twin202Ultra1.4280</v>
      </c>
      <c r="C1020">
        <v>1.42</v>
      </c>
      <c r="D1020">
        <v>80</v>
      </c>
      <c r="E1020">
        <v>2.8236143580083746</v>
      </c>
      <c r="F1020">
        <v>67.360799999999998</v>
      </c>
      <c r="G1020">
        <f t="shared" si="60"/>
        <v>17.677921490678926</v>
      </c>
      <c r="H1020">
        <f t="shared" si="61"/>
        <v>32.680721736208035</v>
      </c>
      <c r="I1020">
        <f t="shared" si="62"/>
        <v>15.972547222235303</v>
      </c>
    </row>
    <row r="1021" spans="1:9" x14ac:dyDescent="0.25">
      <c r="A1021" t="s">
        <v>311</v>
      </c>
      <c r="B1021" t="str">
        <f t="shared" si="63"/>
        <v>Twin202Ultra1.4290</v>
      </c>
      <c r="C1021">
        <v>1.42</v>
      </c>
      <c r="D1021">
        <v>90</v>
      </c>
      <c r="E1021">
        <v>2.9925951400513466</v>
      </c>
      <c r="F1021">
        <v>69.951599999999999</v>
      </c>
      <c r="G1021">
        <f t="shared" si="60"/>
        <v>18.41477682182807</v>
      </c>
      <c r="H1021">
        <f t="shared" si="61"/>
        <v>34.63651782466836</v>
      </c>
      <c r="I1021">
        <f t="shared" si="62"/>
        <v>16.251052994050166</v>
      </c>
    </row>
    <row r="1022" spans="1:9" x14ac:dyDescent="0.25">
      <c r="A1022" t="s">
        <v>311</v>
      </c>
      <c r="B1022" t="str">
        <f t="shared" si="63"/>
        <v>Twin202Ultra1.42100</v>
      </c>
      <c r="C1022">
        <v>1.42</v>
      </c>
      <c r="D1022">
        <v>100</v>
      </c>
      <c r="E1022">
        <v>3.1561249291251907</v>
      </c>
      <c r="F1022">
        <v>72.2376</v>
      </c>
      <c r="G1022">
        <f t="shared" si="60"/>
        <v>19.068445652584586</v>
      </c>
      <c r="H1022">
        <f t="shared" si="61"/>
        <v>36.52922371672674</v>
      </c>
      <c r="I1022">
        <f t="shared" si="62"/>
        <v>16.551558457505429</v>
      </c>
    </row>
    <row r="1023" spans="1:9" x14ac:dyDescent="0.25">
      <c r="A1023" t="s">
        <v>311</v>
      </c>
      <c r="B1023" t="str">
        <f t="shared" si="63"/>
        <v>Twin202Ultra1.42110</v>
      </c>
      <c r="C1023">
        <v>1.42</v>
      </c>
      <c r="D1023">
        <v>110</v>
      </c>
      <c r="E1023">
        <v>3.3087527322607788</v>
      </c>
      <c r="F1023">
        <v>74.523600000000002</v>
      </c>
      <c r="G1023">
        <f t="shared" si="60"/>
        <v>19.725397947805661</v>
      </c>
      <c r="H1023">
        <f t="shared" si="61"/>
        <v>38.295749215981232</v>
      </c>
      <c r="I1023">
        <f t="shared" si="62"/>
        <v>16.774073410411773</v>
      </c>
    </row>
    <row r="1024" spans="1:9" x14ac:dyDescent="0.25">
      <c r="A1024" t="s">
        <v>311</v>
      </c>
      <c r="B1024" t="str">
        <f t="shared" si="63"/>
        <v>Twin202Ultra1.42120</v>
      </c>
      <c r="C1024">
        <v>1.42</v>
      </c>
      <c r="D1024">
        <v>120</v>
      </c>
      <c r="E1024">
        <v>3.4559295424272385</v>
      </c>
      <c r="F1024">
        <v>76.352400000000003</v>
      </c>
      <c r="G1024">
        <f t="shared" si="60"/>
        <v>20.253323878397012</v>
      </c>
      <c r="H1024">
        <f t="shared" si="61"/>
        <v>39.999184518833779</v>
      </c>
      <c r="I1024">
        <f t="shared" si="62"/>
        <v>17.063517885641811</v>
      </c>
    </row>
    <row r="1025" spans="1:9" x14ac:dyDescent="0.25">
      <c r="A1025" t="s">
        <v>311</v>
      </c>
      <c r="B1025" t="str">
        <f t="shared" si="63"/>
        <v>Twin202Ultra1.42130</v>
      </c>
      <c r="C1025">
        <v>1.42</v>
      </c>
      <c r="D1025">
        <v>130</v>
      </c>
      <c r="E1025">
        <v>3.5976553596245702</v>
      </c>
      <c r="F1025">
        <v>77.419200000000004</v>
      </c>
      <c r="G1025">
        <f t="shared" si="60"/>
        <v>20.562251117405921</v>
      </c>
      <c r="H1025">
        <f t="shared" si="61"/>
        <v>41.639529625284375</v>
      </c>
      <c r="I1025">
        <f t="shared" si="62"/>
        <v>17.496408049307206</v>
      </c>
    </row>
    <row r="1026" spans="1:9" x14ac:dyDescent="0.25">
      <c r="A1026" t="s">
        <v>311</v>
      </c>
      <c r="B1026" t="str">
        <f t="shared" si="63"/>
        <v>Twin202Ultra1.540</v>
      </c>
      <c r="C1026">
        <v>1.5</v>
      </c>
      <c r="D1026">
        <v>40</v>
      </c>
      <c r="E1026">
        <v>2.2294561243734079</v>
      </c>
      <c r="F1026">
        <v>44.348400000000005</v>
      </c>
      <c r="G1026">
        <f t="shared" si="60"/>
        <v>11.318012209573212</v>
      </c>
      <c r="H1026">
        <f t="shared" si="61"/>
        <v>25.803890328395923</v>
      </c>
      <c r="I1026">
        <f t="shared" si="62"/>
        <v>19.698301107041111</v>
      </c>
    </row>
    <row r="1027" spans="1:9" x14ac:dyDescent="0.25">
      <c r="A1027" t="s">
        <v>311</v>
      </c>
      <c r="B1027" t="str">
        <f t="shared" si="63"/>
        <v>Twin202Ultra1.550</v>
      </c>
      <c r="C1027">
        <v>1.5</v>
      </c>
      <c r="D1027">
        <v>50</v>
      </c>
      <c r="E1027">
        <v>2.4965547798606864</v>
      </c>
      <c r="F1027">
        <v>54.864000000000004</v>
      </c>
      <c r="G1027">
        <f t="shared" ref="G1027:G1090" si="64">(PI()*(G$1+F1027)^2)/10000-((PI()*(G$1)^2)/10000)</f>
        <v>14.182911827605992</v>
      </c>
      <c r="H1027">
        <f t="shared" ref="H1027:H1090" si="65">E1027/0.0864</f>
        <v>28.895309952091278</v>
      </c>
      <c r="I1027">
        <f t="shared" ref="I1027:I1090" si="66">E1027/G1027*100</f>
        <v>17.602554469818578</v>
      </c>
    </row>
    <row r="1028" spans="1:9" x14ac:dyDescent="0.25">
      <c r="A1028" t="s">
        <v>311</v>
      </c>
      <c r="B1028" t="str">
        <f t="shared" si="63"/>
        <v>Twin202Ultra1.560</v>
      </c>
      <c r="C1028">
        <v>1.5</v>
      </c>
      <c r="D1028">
        <v>60</v>
      </c>
      <c r="E1028">
        <v>2.7309474775331961</v>
      </c>
      <c r="F1028">
        <v>61.874400000000001</v>
      </c>
      <c r="G1028">
        <f t="shared" si="64"/>
        <v>16.13144385522223</v>
      </c>
      <c r="H1028">
        <f t="shared" si="65"/>
        <v>31.608188397374953</v>
      </c>
      <c r="I1028">
        <f t="shared" si="66"/>
        <v>16.92934310185202</v>
      </c>
    </row>
    <row r="1029" spans="1:9" x14ac:dyDescent="0.25">
      <c r="A1029" t="s">
        <v>311</v>
      </c>
      <c r="B1029" t="str">
        <f t="shared" si="63"/>
        <v>Twin202Ultra1.570</v>
      </c>
      <c r="C1029">
        <v>1.5</v>
      </c>
      <c r="D1029">
        <v>70</v>
      </c>
      <c r="E1029">
        <v>2.9489871962983218</v>
      </c>
      <c r="F1029">
        <v>66.293999999999997</v>
      </c>
      <c r="G1029">
        <f t="shared" si="64"/>
        <v>17.375736298703899</v>
      </c>
      <c r="H1029">
        <f t="shared" si="65"/>
        <v>34.131796253452798</v>
      </c>
      <c r="I1029">
        <f t="shared" si="66"/>
        <v>16.97186896487543</v>
      </c>
    </row>
    <row r="1030" spans="1:9" x14ac:dyDescent="0.25">
      <c r="A1030" t="s">
        <v>311</v>
      </c>
      <c r="B1030" t="str">
        <f t="shared" si="63"/>
        <v>Twin202Ultra1.580</v>
      </c>
      <c r="C1030">
        <v>1.5</v>
      </c>
      <c r="D1030">
        <v>80</v>
      </c>
      <c r="E1030">
        <v>3.1561249291251907</v>
      </c>
      <c r="F1030">
        <v>69.646799999999999</v>
      </c>
      <c r="G1030">
        <f t="shared" si="64"/>
        <v>18.327869061708967</v>
      </c>
      <c r="H1030">
        <f t="shared" si="65"/>
        <v>36.52922371672674</v>
      </c>
      <c r="I1030">
        <f t="shared" si="66"/>
        <v>17.220359434578484</v>
      </c>
    </row>
    <row r="1031" spans="1:9" x14ac:dyDescent="0.25">
      <c r="A1031" t="s">
        <v>311</v>
      </c>
      <c r="B1031" t="str">
        <f t="shared" si="63"/>
        <v>Twin202Ultra1.590</v>
      </c>
      <c r="C1031">
        <v>1.5</v>
      </c>
      <c r="D1031">
        <v>90</v>
      </c>
      <c r="E1031">
        <v>3.3469096830446756</v>
      </c>
      <c r="F1031">
        <v>72.542400000000001</v>
      </c>
      <c r="G1031">
        <f t="shared" si="64"/>
        <v>19.155849580667223</v>
      </c>
      <c r="H1031">
        <f t="shared" si="65"/>
        <v>38.737380590794857</v>
      </c>
      <c r="I1031">
        <f t="shared" si="66"/>
        <v>17.471998143180755</v>
      </c>
    </row>
    <row r="1032" spans="1:9" x14ac:dyDescent="0.25">
      <c r="A1032" t="s">
        <v>311</v>
      </c>
      <c r="B1032" t="str">
        <f t="shared" si="63"/>
        <v>Twin202Ultra1.5100</v>
      </c>
      <c r="C1032">
        <v>1.5</v>
      </c>
      <c r="D1032">
        <v>100</v>
      </c>
      <c r="E1032">
        <v>3.5267924510259041</v>
      </c>
      <c r="F1032">
        <v>75.133200000000002</v>
      </c>
      <c r="G1032">
        <f t="shared" si="64"/>
        <v>19.901139767196412</v>
      </c>
      <c r="H1032">
        <f t="shared" si="65"/>
        <v>40.81935707205907</v>
      </c>
      <c r="I1032">
        <f t="shared" si="66"/>
        <v>17.721560133149818</v>
      </c>
    </row>
    <row r="1033" spans="1:9" x14ac:dyDescent="0.25">
      <c r="A1033" t="s">
        <v>311</v>
      </c>
      <c r="B1033" t="str">
        <f t="shared" si="63"/>
        <v>Twin202Ultra1.5110</v>
      </c>
      <c r="C1033">
        <v>1.5</v>
      </c>
      <c r="D1033">
        <v>110</v>
      </c>
      <c r="E1033">
        <v>3.7012242260380046</v>
      </c>
      <c r="F1033">
        <v>77.571600000000004</v>
      </c>
      <c r="G1033">
        <f t="shared" si="64"/>
        <v>20.606441952823062</v>
      </c>
      <c r="H1033">
        <f t="shared" si="65"/>
        <v>42.838243356921346</v>
      </c>
      <c r="I1033">
        <f t="shared" si="66"/>
        <v>17.96149104494452</v>
      </c>
    </row>
    <row r="1034" spans="1:9" x14ac:dyDescent="0.25">
      <c r="A1034" t="s">
        <v>311</v>
      </c>
      <c r="B1034" t="str">
        <f t="shared" si="63"/>
        <v>Twin202Ultra1.5120</v>
      </c>
      <c r="C1034">
        <v>1.5</v>
      </c>
      <c r="D1034">
        <v>120</v>
      </c>
      <c r="E1034">
        <v>3.8647540151118482</v>
      </c>
      <c r="F1034">
        <v>79.552800000000005</v>
      </c>
      <c r="G1034">
        <f t="shared" si="64"/>
        <v>21.182250792207256</v>
      </c>
      <c r="H1034">
        <f t="shared" si="65"/>
        <v>44.730949248979719</v>
      </c>
      <c r="I1034">
        <f t="shared" si="66"/>
        <v>18.245247178990315</v>
      </c>
    </row>
    <row r="1035" spans="1:9" x14ac:dyDescent="0.25">
      <c r="A1035" t="s">
        <v>311</v>
      </c>
      <c r="B1035" t="str">
        <f t="shared" si="63"/>
        <v>Twin202Ultra1.5130</v>
      </c>
      <c r="C1035">
        <v>1.5</v>
      </c>
      <c r="D1035">
        <v>130</v>
      </c>
      <c r="E1035">
        <v>4.0228328112165643</v>
      </c>
      <c r="F1035">
        <v>80.619600000000005</v>
      </c>
      <c r="G1035">
        <f t="shared" si="64"/>
        <v>21.493323227999667</v>
      </c>
      <c r="H1035">
        <f t="shared" si="65"/>
        <v>46.560564944636155</v>
      </c>
      <c r="I1035">
        <f t="shared" si="66"/>
        <v>18.716662698190671</v>
      </c>
    </row>
    <row r="1036" spans="1:9" x14ac:dyDescent="0.25">
      <c r="A1036" t="s">
        <v>311</v>
      </c>
      <c r="B1036" t="str">
        <f t="shared" si="63"/>
        <v>Twin202Ultra1.5740</v>
      </c>
      <c r="C1036">
        <v>1.57</v>
      </c>
      <c r="D1036">
        <v>40</v>
      </c>
      <c r="E1036">
        <v>2.4529468361076616</v>
      </c>
      <c r="F1036">
        <v>44.653200000000005</v>
      </c>
      <c r="G1036">
        <f t="shared" si="64"/>
        <v>11.400075035460176</v>
      </c>
      <c r="H1036">
        <f t="shared" si="65"/>
        <v>28.390588380875712</v>
      </c>
      <c r="I1036">
        <f t="shared" si="66"/>
        <v>21.516935883998293</v>
      </c>
    </row>
    <row r="1037" spans="1:9" x14ac:dyDescent="0.25">
      <c r="A1037" t="s">
        <v>311</v>
      </c>
      <c r="B1037" t="str">
        <f t="shared" si="63"/>
        <v>Twin202Ultra1.5750</v>
      </c>
      <c r="C1037">
        <v>1.57</v>
      </c>
      <c r="D1037">
        <v>50</v>
      </c>
      <c r="E1037">
        <v>2.7418494634714525</v>
      </c>
      <c r="F1037">
        <v>55.626000000000005</v>
      </c>
      <c r="G1037">
        <f t="shared" si="64"/>
        <v>14.393212986651186</v>
      </c>
      <c r="H1037">
        <f t="shared" si="65"/>
        <v>31.734368790178848</v>
      </c>
      <c r="I1037">
        <f t="shared" si="66"/>
        <v>19.04959973853196</v>
      </c>
    </row>
    <row r="1038" spans="1:9" x14ac:dyDescent="0.25">
      <c r="A1038" t="s">
        <v>311</v>
      </c>
      <c r="B1038" t="str">
        <f t="shared" si="63"/>
        <v>Twin202Ultra1.5760</v>
      </c>
      <c r="C1038">
        <v>1.57</v>
      </c>
      <c r="D1038">
        <v>60</v>
      </c>
      <c r="E1038">
        <v>3.0034971259896031</v>
      </c>
      <c r="F1038">
        <v>63.093600000000002</v>
      </c>
      <c r="G1038">
        <f t="shared" si="64"/>
        <v>16.473471116345813</v>
      </c>
      <c r="H1038">
        <f t="shared" si="65"/>
        <v>34.762698217472256</v>
      </c>
      <c r="I1038">
        <f t="shared" si="66"/>
        <v>18.232327023109178</v>
      </c>
    </row>
    <row r="1039" spans="1:9" x14ac:dyDescent="0.25">
      <c r="A1039" t="s">
        <v>311</v>
      </c>
      <c r="B1039" t="str">
        <f t="shared" si="63"/>
        <v>Twin202Ultra1.5770</v>
      </c>
      <c r="C1039">
        <v>1.57</v>
      </c>
      <c r="D1039">
        <v>70</v>
      </c>
      <c r="E1039">
        <v>3.2433408166312412</v>
      </c>
      <c r="F1039">
        <v>67.817999999999998</v>
      </c>
      <c r="G1039">
        <f t="shared" si="64"/>
        <v>17.807648327727776</v>
      </c>
      <c r="H1039">
        <f t="shared" si="65"/>
        <v>37.538666859157885</v>
      </c>
      <c r="I1039">
        <f t="shared" si="66"/>
        <v>18.213189956032146</v>
      </c>
    </row>
    <row r="1040" spans="1:9" x14ac:dyDescent="0.25">
      <c r="A1040" t="s">
        <v>311</v>
      </c>
      <c r="B1040" t="str">
        <f t="shared" si="63"/>
        <v>Twin202Ultra1.5780</v>
      </c>
      <c r="C1040">
        <v>1.57</v>
      </c>
      <c r="D1040">
        <v>80</v>
      </c>
      <c r="E1040">
        <v>3.4668315283654949</v>
      </c>
      <c r="F1040">
        <v>71.4756</v>
      </c>
      <c r="G1040">
        <f t="shared" si="64"/>
        <v>18.850191212947465</v>
      </c>
      <c r="H1040">
        <f t="shared" si="65"/>
        <v>40.125364911637668</v>
      </c>
      <c r="I1040">
        <f t="shared" si="66"/>
        <v>18.391492633688845</v>
      </c>
    </row>
    <row r="1041" spans="1:9" x14ac:dyDescent="0.25">
      <c r="A1041" t="s">
        <v>311</v>
      </c>
      <c r="B1041" t="str">
        <f t="shared" si="63"/>
        <v>Twin202Ultra1.5790</v>
      </c>
      <c r="C1041">
        <v>1.57</v>
      </c>
      <c r="D1041">
        <v>90</v>
      </c>
      <c r="E1041">
        <v>3.6794202541614922</v>
      </c>
      <c r="F1041">
        <v>74.523600000000002</v>
      </c>
      <c r="G1041">
        <f t="shared" si="64"/>
        <v>19.725397947805661</v>
      </c>
      <c r="H1041">
        <f t="shared" si="65"/>
        <v>42.585882571313562</v>
      </c>
      <c r="I1041">
        <f t="shared" si="66"/>
        <v>18.65321178258311</v>
      </c>
    </row>
    <row r="1042" spans="1:9" x14ac:dyDescent="0.25">
      <c r="A1042" t="s">
        <v>311</v>
      </c>
      <c r="B1042" t="str">
        <f t="shared" si="63"/>
        <v>Twin202Ultra1.57100</v>
      </c>
      <c r="C1042">
        <v>1.57</v>
      </c>
      <c r="D1042">
        <v>100</v>
      </c>
      <c r="E1042">
        <v>3.8756560010501047</v>
      </c>
      <c r="F1042">
        <v>77.419200000000004</v>
      </c>
      <c r="G1042">
        <f t="shared" si="64"/>
        <v>20.562251117405921</v>
      </c>
      <c r="H1042">
        <f t="shared" si="65"/>
        <v>44.857129641783615</v>
      </c>
      <c r="I1042">
        <f t="shared" si="66"/>
        <v>18.848403216753667</v>
      </c>
    </row>
    <row r="1043" spans="1:9" x14ac:dyDescent="0.25">
      <c r="A1043" t="s">
        <v>311</v>
      </c>
      <c r="B1043" t="str">
        <f t="shared" si="63"/>
        <v>Twin202Ultra1.57110</v>
      </c>
      <c r="C1043">
        <v>1.57</v>
      </c>
      <c r="D1043">
        <v>110</v>
      </c>
      <c r="E1043">
        <v>4.06644075496959</v>
      </c>
      <c r="F1043">
        <v>79.857600000000005</v>
      </c>
      <c r="G1043">
        <f t="shared" si="64"/>
        <v>21.271055665128088</v>
      </c>
      <c r="H1043">
        <f t="shared" si="65"/>
        <v>47.065286515851732</v>
      </c>
      <c r="I1043">
        <f t="shared" si="66"/>
        <v>19.117249369226844</v>
      </c>
    </row>
    <row r="1044" spans="1:9" x14ac:dyDescent="0.25">
      <c r="A1044" t="s">
        <v>311</v>
      </c>
      <c r="B1044" t="str">
        <f t="shared" si="63"/>
        <v>Twin202Ultra1.57120</v>
      </c>
      <c r="C1044">
        <v>1.57</v>
      </c>
      <c r="D1044">
        <v>120</v>
      </c>
      <c r="E1044">
        <v>4.2463235229508181</v>
      </c>
      <c r="F1044">
        <v>81.991200000000006</v>
      </c>
      <c r="G1044">
        <f t="shared" si="64"/>
        <v>21.894324211218589</v>
      </c>
      <c r="H1044">
        <f t="shared" si="65"/>
        <v>49.147262997115945</v>
      </c>
      <c r="I1044">
        <f t="shared" si="66"/>
        <v>19.394631603998143</v>
      </c>
    </row>
    <row r="1045" spans="1:9" x14ac:dyDescent="0.25">
      <c r="A1045" t="s">
        <v>311</v>
      </c>
      <c r="B1045" t="str">
        <f t="shared" si="63"/>
        <v>Twin202Ultra1.57130</v>
      </c>
      <c r="C1045">
        <v>1.57</v>
      </c>
      <c r="D1045">
        <v>130</v>
      </c>
      <c r="E1045">
        <v>4.420755297962919</v>
      </c>
      <c r="F1045">
        <v>83.210400000000007</v>
      </c>
      <c r="G1045">
        <f t="shared" si="64"/>
        <v>22.251761865562457</v>
      </c>
      <c r="H1045">
        <f t="shared" si="65"/>
        <v>51.166149281978228</v>
      </c>
      <c r="I1045">
        <f t="shared" si="66"/>
        <v>19.866989969925132</v>
      </c>
    </row>
    <row r="1046" spans="1:9" x14ac:dyDescent="0.25">
      <c r="A1046" t="s">
        <v>311</v>
      </c>
      <c r="B1046" t="str">
        <f t="shared" si="63"/>
        <v>Twin202Ultra1.6540</v>
      </c>
      <c r="C1046">
        <v>1.65</v>
      </c>
      <c r="D1046">
        <v>40</v>
      </c>
      <c r="E1046">
        <v>2.7036925126875553</v>
      </c>
      <c r="F1046">
        <v>45.110400000000006</v>
      </c>
      <c r="G1046">
        <f t="shared" si="64"/>
        <v>11.52327872310611</v>
      </c>
      <c r="H1046">
        <f t="shared" si="65"/>
        <v>31.29273741536522</v>
      </c>
      <c r="I1046">
        <f t="shared" si="66"/>
        <v>23.462875260200011</v>
      </c>
    </row>
    <row r="1047" spans="1:9" x14ac:dyDescent="0.25">
      <c r="A1047" t="s">
        <v>311</v>
      </c>
      <c r="B1047" t="str">
        <f t="shared" si="63"/>
        <v>Twin202Ultra1.6550</v>
      </c>
      <c r="C1047">
        <v>1.65</v>
      </c>
      <c r="D1047">
        <v>50</v>
      </c>
      <c r="E1047">
        <v>3.0253010978661155</v>
      </c>
      <c r="F1047">
        <v>56.540400000000005</v>
      </c>
      <c r="G1047">
        <f t="shared" si="64"/>
        <v>14.646055952293572</v>
      </c>
      <c r="H1047">
        <f t="shared" si="65"/>
        <v>35.01505900308004</v>
      </c>
      <c r="I1047">
        <f t="shared" si="66"/>
        <v>20.65608043367029</v>
      </c>
    </row>
    <row r="1048" spans="1:9" x14ac:dyDescent="0.25">
      <c r="A1048" t="s">
        <v>311</v>
      </c>
      <c r="B1048" t="str">
        <f t="shared" si="63"/>
        <v>Twin202Ultra1.6560</v>
      </c>
      <c r="C1048">
        <v>1.65</v>
      </c>
      <c r="D1048">
        <v>60</v>
      </c>
      <c r="E1048">
        <v>3.3142037252299068</v>
      </c>
      <c r="F1048">
        <v>64.31280000000001</v>
      </c>
      <c r="G1048">
        <f t="shared" si="64"/>
        <v>16.816432340694881</v>
      </c>
      <c r="H1048">
        <f t="shared" si="65"/>
        <v>38.358839412383176</v>
      </c>
      <c r="I1048">
        <f t="shared" si="66"/>
        <v>19.70812630221042</v>
      </c>
    </row>
    <row r="1049" spans="1:9" x14ac:dyDescent="0.25">
      <c r="A1049" t="s">
        <v>311</v>
      </c>
      <c r="B1049" t="str">
        <f t="shared" si="63"/>
        <v>Twin202Ultra1.6570</v>
      </c>
      <c r="C1049">
        <v>1.65</v>
      </c>
      <c r="D1049">
        <v>70</v>
      </c>
      <c r="E1049">
        <v>3.5758513877480578</v>
      </c>
      <c r="F1049">
        <v>69.494399999999999</v>
      </c>
      <c r="G1049">
        <f t="shared" si="64"/>
        <v>18.284437071412512</v>
      </c>
      <c r="H1049">
        <f t="shared" si="65"/>
        <v>41.38716883967659</v>
      </c>
      <c r="I1049">
        <f t="shared" si="66"/>
        <v>19.556803273636771</v>
      </c>
    </row>
    <row r="1050" spans="1:9" x14ac:dyDescent="0.25">
      <c r="A1050" t="s">
        <v>311</v>
      </c>
      <c r="B1050" t="str">
        <f t="shared" si="63"/>
        <v>Twin202Ultra1.6580</v>
      </c>
      <c r="C1050">
        <v>1.65</v>
      </c>
      <c r="D1050">
        <v>80</v>
      </c>
      <c r="E1050">
        <v>3.8265970643279514</v>
      </c>
      <c r="F1050">
        <v>73.304400000000001</v>
      </c>
      <c r="G1050">
        <f t="shared" si="64"/>
        <v>19.374614781443285</v>
      </c>
      <c r="H1050">
        <f t="shared" si="65"/>
        <v>44.289317874166102</v>
      </c>
      <c r="I1050">
        <f t="shared" si="66"/>
        <v>19.750571082285511</v>
      </c>
    </row>
    <row r="1051" spans="1:9" x14ac:dyDescent="0.25">
      <c r="A1051" t="s">
        <v>311</v>
      </c>
      <c r="B1051" t="str">
        <f t="shared" si="63"/>
        <v>Twin202Ultra1.6590</v>
      </c>
      <c r="C1051">
        <v>1.65</v>
      </c>
      <c r="D1051">
        <v>90</v>
      </c>
      <c r="E1051">
        <v>4.0555387690313331</v>
      </c>
      <c r="F1051">
        <v>76.657200000000003</v>
      </c>
      <c r="G1051">
        <f t="shared" si="64"/>
        <v>20.341515837951135</v>
      </c>
      <c r="H1051">
        <f t="shared" si="65"/>
        <v>46.939106123047836</v>
      </c>
      <c r="I1051">
        <f t="shared" si="66"/>
        <v>19.937249521320926</v>
      </c>
    </row>
    <row r="1052" spans="1:9" x14ac:dyDescent="0.25">
      <c r="A1052" t="s">
        <v>311</v>
      </c>
      <c r="B1052" t="str">
        <f t="shared" si="63"/>
        <v>Twin202Ultra1.65100</v>
      </c>
      <c r="C1052">
        <v>1.65</v>
      </c>
      <c r="D1052">
        <v>100</v>
      </c>
      <c r="E1052">
        <v>4.2735784877964589</v>
      </c>
      <c r="F1052">
        <v>79.705200000000005</v>
      </c>
      <c r="G1052">
        <f t="shared" si="64"/>
        <v>21.226645932079975</v>
      </c>
      <c r="H1052">
        <f t="shared" si="65"/>
        <v>49.462713979125681</v>
      </c>
      <c r="I1052">
        <f t="shared" si="66"/>
        <v>20.133084150321508</v>
      </c>
    </row>
    <row r="1053" spans="1:9" x14ac:dyDescent="0.25">
      <c r="A1053" t="s">
        <v>311</v>
      </c>
      <c r="B1053" t="str">
        <f t="shared" si="63"/>
        <v>Twin202Ultra1.65110</v>
      </c>
      <c r="C1053">
        <v>1.65</v>
      </c>
      <c r="D1053">
        <v>110</v>
      </c>
      <c r="E1053">
        <v>4.4861672135924566</v>
      </c>
      <c r="F1053">
        <v>82.448400000000007</v>
      </c>
      <c r="G1053">
        <f t="shared" si="64"/>
        <v>22.028253882782053</v>
      </c>
      <c r="H1053">
        <f t="shared" si="65"/>
        <v>51.923231638801582</v>
      </c>
      <c r="I1053">
        <f t="shared" si="66"/>
        <v>20.365514386498788</v>
      </c>
    </row>
    <row r="1054" spans="1:9" x14ac:dyDescent="0.25">
      <c r="A1054" t="s">
        <v>311</v>
      </c>
      <c r="B1054" t="str">
        <f t="shared" si="63"/>
        <v>Twin202Ultra1.65120</v>
      </c>
      <c r="C1054">
        <v>1.65</v>
      </c>
      <c r="D1054">
        <v>120</v>
      </c>
      <c r="E1054">
        <v>4.6824029604810695</v>
      </c>
      <c r="F1054">
        <v>84.582000000000008</v>
      </c>
      <c r="G1054">
        <f t="shared" si="64"/>
        <v>22.654995604617255</v>
      </c>
      <c r="H1054">
        <f t="shared" si="65"/>
        <v>54.194478709271635</v>
      </c>
      <c r="I1054">
        <f t="shared" si="66"/>
        <v>20.668302224374571</v>
      </c>
    </row>
    <row r="1055" spans="1:9" x14ac:dyDescent="0.25">
      <c r="A1055" t="s">
        <v>311</v>
      </c>
      <c r="B1055" t="str">
        <f t="shared" si="63"/>
        <v>Twin202Ultra1.65130</v>
      </c>
      <c r="C1055">
        <v>1.65</v>
      </c>
      <c r="D1055">
        <v>130</v>
      </c>
      <c r="E1055">
        <v>4.8731877144005544</v>
      </c>
      <c r="F1055">
        <v>85.801200000000009</v>
      </c>
      <c r="G1055">
        <f t="shared" si="64"/>
        <v>23.01441793081527</v>
      </c>
      <c r="H1055">
        <f t="shared" si="65"/>
        <v>56.402635583339745</v>
      </c>
      <c r="I1055">
        <f t="shared" si="66"/>
        <v>21.174499085964609</v>
      </c>
    </row>
    <row r="1056" spans="1:9" x14ac:dyDescent="0.25">
      <c r="A1056" t="s">
        <v>311</v>
      </c>
      <c r="B1056" t="str">
        <f t="shared" si="63"/>
        <v>Twin202Ultra1.7340</v>
      </c>
      <c r="C1056">
        <v>1.73</v>
      </c>
      <c r="D1056">
        <v>40</v>
      </c>
      <c r="E1056">
        <v>2.9871441470822186</v>
      </c>
      <c r="F1056">
        <v>45.415200000000006</v>
      </c>
      <c r="G1056">
        <f t="shared" si="64"/>
        <v>11.605487480747058</v>
      </c>
      <c r="H1056">
        <f t="shared" si="65"/>
        <v>34.573427628266415</v>
      </c>
      <c r="I1056">
        <f t="shared" si="66"/>
        <v>25.739066558278971</v>
      </c>
    </row>
    <row r="1057" spans="1:9" x14ac:dyDescent="0.25">
      <c r="A1057" t="s">
        <v>311</v>
      </c>
      <c r="B1057" t="str">
        <f t="shared" si="63"/>
        <v>Twin202Ultra1.7350</v>
      </c>
      <c r="C1057">
        <v>1.73</v>
      </c>
      <c r="D1057">
        <v>50</v>
      </c>
      <c r="E1057">
        <v>3.3414586900755476</v>
      </c>
      <c r="F1057">
        <v>57.454800000000006</v>
      </c>
      <c r="G1057">
        <f t="shared" si="64"/>
        <v>14.899424272250286</v>
      </c>
      <c r="H1057">
        <f t="shared" si="65"/>
        <v>38.674290394392912</v>
      </c>
      <c r="I1057">
        <f t="shared" si="66"/>
        <v>22.426763806564733</v>
      </c>
    </row>
    <row r="1058" spans="1:9" x14ac:dyDescent="0.25">
      <c r="A1058" t="s">
        <v>311</v>
      </c>
      <c r="B1058" t="str">
        <f t="shared" si="63"/>
        <v>Twin202Ultra1.7360</v>
      </c>
      <c r="C1058">
        <v>1.73</v>
      </c>
      <c r="D1058">
        <v>60</v>
      </c>
      <c r="E1058">
        <v>3.6576162822849798</v>
      </c>
      <c r="F1058">
        <v>65.379599999999996</v>
      </c>
      <c r="G1058">
        <f t="shared" si="64"/>
        <v>17.117289553708673</v>
      </c>
      <c r="H1058">
        <f t="shared" si="65"/>
        <v>42.333521785705784</v>
      </c>
      <c r="I1058">
        <f t="shared" si="66"/>
        <v>21.367964074034791</v>
      </c>
    </row>
    <row r="1059" spans="1:9" x14ac:dyDescent="0.25">
      <c r="A1059" t="s">
        <v>311</v>
      </c>
      <c r="B1059" t="str">
        <f t="shared" si="63"/>
        <v>Twin202Ultra1.7370</v>
      </c>
      <c r="C1059">
        <v>1.73</v>
      </c>
      <c r="D1059">
        <v>70</v>
      </c>
      <c r="E1059">
        <v>3.9519699026178987</v>
      </c>
      <c r="F1059">
        <v>71.0184</v>
      </c>
      <c r="G1059">
        <f t="shared" si="64"/>
        <v>18.719413667269961</v>
      </c>
      <c r="H1059">
        <f t="shared" si="65"/>
        <v>45.740392391410865</v>
      </c>
      <c r="I1059">
        <f t="shared" si="66"/>
        <v>21.111611575354718</v>
      </c>
    </row>
    <row r="1060" spans="1:9" x14ac:dyDescent="0.25">
      <c r="A1060" t="s">
        <v>311</v>
      </c>
      <c r="B1060" t="str">
        <f t="shared" si="63"/>
        <v>Twin202Ultra1.7380</v>
      </c>
      <c r="C1060">
        <v>1.73</v>
      </c>
      <c r="D1060">
        <v>80</v>
      </c>
      <c r="E1060">
        <v>4.2245195510743052</v>
      </c>
      <c r="F1060">
        <v>75.133200000000002</v>
      </c>
      <c r="G1060">
        <f t="shared" si="64"/>
        <v>19.901139767196412</v>
      </c>
      <c r="H1060">
        <f t="shared" si="65"/>
        <v>48.89490221150816</v>
      </c>
      <c r="I1060">
        <f t="shared" si="66"/>
        <v>21.227525661810059</v>
      </c>
    </row>
    <row r="1061" spans="1:9" x14ac:dyDescent="0.25">
      <c r="A1061" t="s">
        <v>311</v>
      </c>
      <c r="B1061" t="str">
        <f t="shared" si="63"/>
        <v>Twin202Ultra1.7390</v>
      </c>
      <c r="C1061">
        <v>1.73</v>
      </c>
      <c r="D1061">
        <v>90</v>
      </c>
      <c r="E1061">
        <v>4.4807162206233278</v>
      </c>
      <c r="F1061">
        <v>78.790800000000004</v>
      </c>
      <c r="G1061">
        <f t="shared" si="64"/>
        <v>20.960493990474603</v>
      </c>
      <c r="H1061">
        <f t="shared" si="65"/>
        <v>51.860141442399623</v>
      </c>
      <c r="I1061">
        <f t="shared" si="66"/>
        <v>21.376959067184046</v>
      </c>
    </row>
    <row r="1062" spans="1:9" x14ac:dyDescent="0.25">
      <c r="A1062" t="s">
        <v>311</v>
      </c>
      <c r="B1062" t="str">
        <f t="shared" ref="B1062:B1125" si="67">A1062&amp;C1062&amp;D1062</f>
        <v>Twin202Ultra1.73100</v>
      </c>
      <c r="C1062">
        <v>1.73</v>
      </c>
      <c r="D1062">
        <v>100</v>
      </c>
      <c r="E1062">
        <v>4.7260109042340943</v>
      </c>
      <c r="F1062">
        <v>81.991200000000006</v>
      </c>
      <c r="G1062">
        <f t="shared" si="64"/>
        <v>21.894324211218589</v>
      </c>
      <c r="H1062">
        <f t="shared" si="65"/>
        <v>54.699200280487197</v>
      </c>
      <c r="I1062">
        <f t="shared" si="66"/>
        <v>21.585552760804099</v>
      </c>
    </row>
    <row r="1063" spans="1:9" x14ac:dyDescent="0.25">
      <c r="A1063" t="s">
        <v>311</v>
      </c>
      <c r="B1063" t="str">
        <f t="shared" si="67"/>
        <v>Twin202Ultra1.73110</v>
      </c>
      <c r="C1063">
        <v>1.73</v>
      </c>
      <c r="D1063">
        <v>110</v>
      </c>
      <c r="E1063">
        <v>4.954952608937476</v>
      </c>
      <c r="F1063">
        <v>84.886800000000008</v>
      </c>
      <c r="G1063">
        <f t="shared" si="64"/>
        <v>22.744763627114381</v>
      </c>
      <c r="H1063">
        <f t="shared" si="65"/>
        <v>57.348988529368931</v>
      </c>
      <c r="I1063">
        <f t="shared" si="66"/>
        <v>21.785025732387041</v>
      </c>
    </row>
    <row r="1064" spans="1:9" x14ac:dyDescent="0.25">
      <c r="A1064" t="s">
        <v>311</v>
      </c>
      <c r="B1064" t="str">
        <f t="shared" si="67"/>
        <v>Twin202Ultra1.73120</v>
      </c>
      <c r="C1064">
        <v>1.73</v>
      </c>
      <c r="D1064">
        <v>120</v>
      </c>
      <c r="E1064">
        <v>5.1784433206717297</v>
      </c>
      <c r="F1064">
        <v>87.172800000000009</v>
      </c>
      <c r="G1064">
        <f t="shared" si="64"/>
        <v>23.419884425705973</v>
      </c>
      <c r="H1064">
        <f t="shared" si="65"/>
        <v>59.935686581848721</v>
      </c>
      <c r="I1064">
        <f t="shared" si="66"/>
        <v>22.111310314528289</v>
      </c>
    </row>
    <row r="1065" spans="1:9" x14ac:dyDescent="0.25">
      <c r="A1065" t="s">
        <v>311</v>
      </c>
      <c r="B1065" t="str">
        <f t="shared" si="67"/>
        <v>Twin202Ultra1.73130</v>
      </c>
      <c r="C1065">
        <v>1.73</v>
      </c>
      <c r="D1065">
        <v>130</v>
      </c>
      <c r="E1065">
        <v>5.3855810534985986</v>
      </c>
      <c r="F1065">
        <v>88.54440000000001</v>
      </c>
      <c r="G1065">
        <f t="shared" si="64"/>
        <v>23.826532967803914</v>
      </c>
      <c r="H1065">
        <f t="shared" si="65"/>
        <v>62.333114045122663</v>
      </c>
      <c r="I1065">
        <f t="shared" si="66"/>
        <v>22.603292979200855</v>
      </c>
    </row>
    <row r="1066" spans="1:9" x14ac:dyDescent="0.25">
      <c r="A1066" t="s">
        <v>311</v>
      </c>
      <c r="B1066" t="str">
        <f t="shared" si="67"/>
        <v>Twin202Ultra1.7740</v>
      </c>
      <c r="C1066">
        <v>1.77</v>
      </c>
      <c r="D1066">
        <v>40</v>
      </c>
      <c r="E1066">
        <v>3.1234189713104219</v>
      </c>
      <c r="F1066">
        <v>45.72</v>
      </c>
      <c r="G1066">
        <f t="shared" si="64"/>
        <v>11.687754611089588</v>
      </c>
      <c r="H1066">
        <f t="shared" si="65"/>
        <v>36.150682538315067</v>
      </c>
      <c r="I1066">
        <f t="shared" si="66"/>
        <v>26.723858219498002</v>
      </c>
    </row>
    <row r="1067" spans="1:9" x14ac:dyDescent="0.25">
      <c r="A1067" t="s">
        <v>311</v>
      </c>
      <c r="B1067" t="str">
        <f t="shared" si="67"/>
        <v>Twin202Ultra1.7750</v>
      </c>
      <c r="C1067">
        <v>1.77</v>
      </c>
      <c r="D1067">
        <v>50</v>
      </c>
      <c r="E1067">
        <v>3.4886355002420073</v>
      </c>
      <c r="F1067">
        <v>57.912000000000006</v>
      </c>
      <c r="G1067">
        <f t="shared" si="64"/>
        <v>15.026305440096543</v>
      </c>
      <c r="H1067">
        <f t="shared" si="65"/>
        <v>40.377725697245452</v>
      </c>
      <c r="I1067">
        <f t="shared" si="66"/>
        <v>23.216854696250557</v>
      </c>
    </row>
    <row r="1068" spans="1:9" x14ac:dyDescent="0.25">
      <c r="A1068" t="s">
        <v>311</v>
      </c>
      <c r="B1068" t="str">
        <f t="shared" si="67"/>
        <v>Twin202Ultra1.7760</v>
      </c>
      <c r="C1068">
        <v>1.77</v>
      </c>
      <c r="D1068">
        <v>60</v>
      </c>
      <c r="E1068">
        <v>3.8211460713588234</v>
      </c>
      <c r="F1068">
        <v>66.293999999999997</v>
      </c>
      <c r="G1068">
        <f t="shared" si="64"/>
        <v>17.375736298703899</v>
      </c>
      <c r="H1068">
        <f t="shared" si="65"/>
        <v>44.226227677764157</v>
      </c>
      <c r="I1068">
        <f t="shared" si="66"/>
        <v>21.991275682768347</v>
      </c>
    </row>
    <row r="1069" spans="1:9" x14ac:dyDescent="0.25">
      <c r="A1069" t="s">
        <v>311</v>
      </c>
      <c r="B1069" t="str">
        <f t="shared" si="67"/>
        <v>Twin202Ultra1.7770</v>
      </c>
      <c r="C1069">
        <v>1.77</v>
      </c>
      <c r="D1069">
        <v>70</v>
      </c>
      <c r="E1069">
        <v>4.1318526705991276</v>
      </c>
      <c r="F1069">
        <v>71.7804</v>
      </c>
      <c r="G1069">
        <f t="shared" si="64"/>
        <v>18.937449209276124</v>
      </c>
      <c r="H1069">
        <f t="shared" si="65"/>
        <v>47.822368872675085</v>
      </c>
      <c r="I1069">
        <f t="shared" si="66"/>
        <v>21.818422454568083</v>
      </c>
    </row>
    <row r="1070" spans="1:9" x14ac:dyDescent="0.25">
      <c r="A1070" t="s">
        <v>311</v>
      </c>
      <c r="B1070" t="str">
        <f t="shared" si="67"/>
        <v>Twin202Ultra1.7780</v>
      </c>
      <c r="C1070">
        <v>1.77</v>
      </c>
      <c r="D1070">
        <v>80</v>
      </c>
      <c r="E1070">
        <v>4.4153043049937901</v>
      </c>
      <c r="F1070">
        <v>76.047600000000003</v>
      </c>
      <c r="G1070">
        <f t="shared" si="64"/>
        <v>20.165190291544462</v>
      </c>
      <c r="H1070">
        <f t="shared" si="65"/>
        <v>51.10305908557627</v>
      </c>
      <c r="I1070">
        <f t="shared" si="66"/>
        <v>21.895673887318519</v>
      </c>
    </row>
    <row r="1071" spans="1:9" x14ac:dyDescent="0.25">
      <c r="A1071" t="s">
        <v>311</v>
      </c>
      <c r="B1071" t="str">
        <f t="shared" si="67"/>
        <v>Twin202Ultra1.7790</v>
      </c>
      <c r="C1071">
        <v>1.77</v>
      </c>
      <c r="D1071">
        <v>90</v>
      </c>
      <c r="E1071">
        <v>4.6824029604810695</v>
      </c>
      <c r="F1071">
        <v>79.857600000000005</v>
      </c>
      <c r="G1071">
        <f t="shared" si="64"/>
        <v>21.271055665128088</v>
      </c>
      <c r="H1071">
        <f t="shared" si="65"/>
        <v>54.194478709271635</v>
      </c>
      <c r="I1071">
        <f t="shared" si="66"/>
        <v>22.013025748211607</v>
      </c>
    </row>
    <row r="1072" spans="1:9" x14ac:dyDescent="0.25">
      <c r="A1072" t="s">
        <v>311</v>
      </c>
      <c r="B1072" t="str">
        <f t="shared" si="67"/>
        <v>Twin202Ultra1.77100</v>
      </c>
      <c r="C1072">
        <v>1.77</v>
      </c>
      <c r="D1072">
        <v>100</v>
      </c>
      <c r="E1072">
        <v>4.9331486370609632</v>
      </c>
      <c r="F1072">
        <v>83.210400000000007</v>
      </c>
      <c r="G1072">
        <f t="shared" si="64"/>
        <v>22.251761865562457</v>
      </c>
      <c r="H1072">
        <f t="shared" si="65"/>
        <v>57.096627743761147</v>
      </c>
      <c r="I1072">
        <f t="shared" si="66"/>
        <v>22.169699041655047</v>
      </c>
    </row>
    <row r="1073" spans="1:9" x14ac:dyDescent="0.25">
      <c r="A1073" t="s">
        <v>311</v>
      </c>
      <c r="B1073" t="str">
        <f t="shared" si="67"/>
        <v>Twin202Ultra1.77110</v>
      </c>
      <c r="C1073">
        <v>1.77</v>
      </c>
      <c r="D1073">
        <v>110</v>
      </c>
      <c r="E1073">
        <v>5.1784433206717297</v>
      </c>
      <c r="F1073">
        <v>86.106000000000009</v>
      </c>
      <c r="G1073">
        <f t="shared" si="64"/>
        <v>23.104419444118747</v>
      </c>
      <c r="H1073">
        <f t="shared" si="65"/>
        <v>59.935686581848721</v>
      </c>
      <c r="I1073">
        <f t="shared" si="66"/>
        <v>22.413215502759183</v>
      </c>
    </row>
    <row r="1074" spans="1:9" x14ac:dyDescent="0.25">
      <c r="A1074" t="s">
        <v>311</v>
      </c>
      <c r="B1074" t="str">
        <f t="shared" si="67"/>
        <v>Twin202Ultra1.77120</v>
      </c>
      <c r="C1074">
        <v>1.77</v>
      </c>
      <c r="D1074">
        <v>120</v>
      </c>
      <c r="E1074">
        <v>5.4073850253751106</v>
      </c>
      <c r="F1074">
        <v>88.54440000000001</v>
      </c>
      <c r="G1074">
        <f t="shared" si="64"/>
        <v>23.826532967803914</v>
      </c>
      <c r="H1074">
        <f t="shared" si="65"/>
        <v>62.58547483073044</v>
      </c>
      <c r="I1074">
        <f t="shared" si="66"/>
        <v>22.694804286808949</v>
      </c>
    </row>
    <row r="1075" spans="1:9" x14ac:dyDescent="0.25">
      <c r="A1075" t="s">
        <v>311</v>
      </c>
      <c r="B1075" t="str">
        <f t="shared" si="67"/>
        <v>Twin202Ultra1.77130</v>
      </c>
      <c r="C1075">
        <v>1.77</v>
      </c>
      <c r="D1075">
        <v>130</v>
      </c>
      <c r="E1075">
        <v>5.6254247441402363</v>
      </c>
      <c r="F1075">
        <v>90.068400000000011</v>
      </c>
      <c r="G1075">
        <f t="shared" si="64"/>
        <v>24.279751032908877</v>
      </c>
      <c r="H1075">
        <f t="shared" si="65"/>
        <v>65.109082686808293</v>
      </c>
      <c r="I1075">
        <f t="shared" si="66"/>
        <v>23.169202750536904</v>
      </c>
    </row>
    <row r="1076" spans="1:9" x14ac:dyDescent="0.25">
      <c r="A1076" t="s">
        <v>317</v>
      </c>
      <c r="B1076" t="str">
        <f t="shared" si="67"/>
        <v>TwinMax180.3925</v>
      </c>
      <c r="C1076">
        <v>0.39</v>
      </c>
      <c r="D1076">
        <v>25</v>
      </c>
      <c r="E1076">
        <v>0.11992178880000001</v>
      </c>
      <c r="F1076">
        <v>14.8484848484848</v>
      </c>
      <c r="G1076">
        <f t="shared" si="64"/>
        <v>3.6518230725703233</v>
      </c>
      <c r="H1076">
        <f t="shared" si="65"/>
        <v>1.3879836666666667</v>
      </c>
      <c r="I1076">
        <f t="shared" si="66"/>
        <v>3.2838882502484839</v>
      </c>
    </row>
    <row r="1077" spans="1:9" x14ac:dyDescent="0.25">
      <c r="A1077" t="s">
        <v>317</v>
      </c>
      <c r="B1077" t="str">
        <f t="shared" si="67"/>
        <v>TwinMax180.3930</v>
      </c>
      <c r="C1077">
        <v>0.39</v>
      </c>
      <c r="D1077">
        <v>30</v>
      </c>
      <c r="E1077">
        <v>0.1308237696</v>
      </c>
      <c r="F1077">
        <v>16.363636363636399</v>
      </c>
      <c r="G1077">
        <f t="shared" si="64"/>
        <v>4.0322471526703296</v>
      </c>
      <c r="H1077">
        <f t="shared" si="65"/>
        <v>1.5141639999999998</v>
      </c>
      <c r="I1077">
        <f t="shared" si="66"/>
        <v>3.2444382659768953</v>
      </c>
    </row>
    <row r="1078" spans="1:9" x14ac:dyDescent="0.25">
      <c r="A1078" t="s">
        <v>317</v>
      </c>
      <c r="B1078" t="str">
        <f t="shared" si="67"/>
        <v>TwinMax180.3935</v>
      </c>
      <c r="C1078">
        <v>0.39</v>
      </c>
      <c r="D1078">
        <v>35</v>
      </c>
      <c r="E1078">
        <v>0.14172575039999999</v>
      </c>
      <c r="F1078">
        <v>17.272727272727273</v>
      </c>
      <c r="G1078">
        <f t="shared" si="64"/>
        <v>4.2611939627476332</v>
      </c>
      <c r="H1078">
        <f t="shared" si="65"/>
        <v>1.6403443333333332</v>
      </c>
      <c r="I1078">
        <f t="shared" si="66"/>
        <v>3.3259633717451038</v>
      </c>
    </row>
    <row r="1079" spans="1:9" x14ac:dyDescent="0.25">
      <c r="A1079" t="s">
        <v>317</v>
      </c>
      <c r="B1079" t="str">
        <f t="shared" si="67"/>
        <v>TwinMax180.3940</v>
      </c>
      <c r="C1079">
        <v>0.39</v>
      </c>
      <c r="D1079">
        <v>40</v>
      </c>
      <c r="E1079">
        <v>0.15262773120000003</v>
      </c>
      <c r="F1079">
        <v>18.181818181818183</v>
      </c>
      <c r="G1079">
        <f t="shared" si="64"/>
        <v>4.4906600443379432</v>
      </c>
      <c r="H1079">
        <f t="shared" si="65"/>
        <v>1.766524666666667</v>
      </c>
      <c r="I1079">
        <f t="shared" si="66"/>
        <v>3.398781686724226</v>
      </c>
    </row>
    <row r="1080" spans="1:9" x14ac:dyDescent="0.25">
      <c r="A1080" t="s">
        <v>317</v>
      </c>
      <c r="B1080" t="str">
        <f t="shared" si="67"/>
        <v>TwinMax180.3945</v>
      </c>
      <c r="C1080">
        <v>0.39</v>
      </c>
      <c r="D1080">
        <v>45</v>
      </c>
      <c r="E1080">
        <v>0.16352971199999999</v>
      </c>
      <c r="F1080">
        <v>18.787878787878789</v>
      </c>
      <c r="G1080">
        <f t="shared" si="64"/>
        <v>4.6439259162387003</v>
      </c>
      <c r="H1080">
        <f t="shared" si="65"/>
        <v>1.8927049999999999</v>
      </c>
      <c r="I1080">
        <f t="shared" si="66"/>
        <v>3.521367802793228</v>
      </c>
    </row>
    <row r="1081" spans="1:9" x14ac:dyDescent="0.25">
      <c r="A1081" t="s">
        <v>317</v>
      </c>
      <c r="B1081" t="str">
        <f t="shared" si="67"/>
        <v>TwinMax180.3950</v>
      </c>
      <c r="C1081">
        <v>0.39</v>
      </c>
      <c r="D1081">
        <v>50</v>
      </c>
      <c r="E1081">
        <v>0.16898070240000002</v>
      </c>
      <c r="F1081">
        <v>19.696969696969699</v>
      </c>
      <c r="G1081">
        <f t="shared" si="64"/>
        <v>4.8742574503506404</v>
      </c>
      <c r="H1081">
        <f t="shared" si="65"/>
        <v>1.9557951666666666</v>
      </c>
      <c r="I1081">
        <f t="shared" si="66"/>
        <v>3.466798873905276</v>
      </c>
    </row>
    <row r="1082" spans="1:9" x14ac:dyDescent="0.25">
      <c r="A1082" t="s">
        <v>317</v>
      </c>
      <c r="B1082" t="str">
        <f t="shared" si="67"/>
        <v>TwinMax180.3955</v>
      </c>
      <c r="C1082">
        <v>0.39</v>
      </c>
      <c r="D1082">
        <v>55</v>
      </c>
      <c r="E1082">
        <v>0.17988268320000003</v>
      </c>
      <c r="F1082">
        <v>20.303030303030305</v>
      </c>
      <c r="G1082">
        <f t="shared" si="64"/>
        <v>5.0281002905991699</v>
      </c>
      <c r="H1082">
        <f t="shared" si="65"/>
        <v>2.0819755000000004</v>
      </c>
      <c r="I1082">
        <f t="shared" si="66"/>
        <v>3.5775476383460214</v>
      </c>
    </row>
    <row r="1083" spans="1:9" x14ac:dyDescent="0.25">
      <c r="A1083" t="s">
        <v>317</v>
      </c>
      <c r="B1083" t="str">
        <f t="shared" si="67"/>
        <v>TwinMax180.3960</v>
      </c>
      <c r="C1083">
        <v>0.39</v>
      </c>
      <c r="D1083">
        <v>60</v>
      </c>
      <c r="E1083">
        <v>0.1853336736</v>
      </c>
      <c r="F1083">
        <v>21.212121212121215</v>
      </c>
      <c r="G1083">
        <f t="shared" si="64"/>
        <v>5.2592972772327613</v>
      </c>
      <c r="H1083">
        <f t="shared" si="65"/>
        <v>2.1450656666666665</v>
      </c>
      <c r="I1083">
        <f t="shared" si="66"/>
        <v>3.5239246581915102</v>
      </c>
    </row>
    <row r="1084" spans="1:9" x14ac:dyDescent="0.25">
      <c r="A1084" t="s">
        <v>317</v>
      </c>
      <c r="B1084" t="str">
        <f t="shared" si="67"/>
        <v>TwinMax180.3965</v>
      </c>
      <c r="C1084">
        <v>0.39</v>
      </c>
      <c r="D1084">
        <v>65</v>
      </c>
      <c r="E1084">
        <v>0.19623565440000001</v>
      </c>
      <c r="F1084">
        <v>22.121212121212121</v>
      </c>
      <c r="G1084">
        <f t="shared" si="64"/>
        <v>5.4910135353793592</v>
      </c>
      <c r="H1084">
        <f t="shared" si="65"/>
        <v>2.2712460000000001</v>
      </c>
      <c r="I1084">
        <f t="shared" si="66"/>
        <v>3.5737601653251549</v>
      </c>
    </row>
    <row r="1085" spans="1:9" x14ac:dyDescent="0.25">
      <c r="A1085" t="s">
        <v>317</v>
      </c>
      <c r="B1085" t="str">
        <f t="shared" si="67"/>
        <v>TwinMax180.3970</v>
      </c>
      <c r="C1085">
        <v>0.39</v>
      </c>
      <c r="D1085">
        <v>70</v>
      </c>
      <c r="E1085">
        <v>0.20168664479999998</v>
      </c>
      <c r="F1085">
        <v>22.72727272727273</v>
      </c>
      <c r="G1085">
        <f t="shared" si="64"/>
        <v>5.645779524984313</v>
      </c>
      <c r="H1085">
        <f t="shared" si="65"/>
        <v>2.3343361666666662</v>
      </c>
      <c r="I1085">
        <f t="shared" si="66"/>
        <v>3.5723436224789595</v>
      </c>
    </row>
    <row r="1086" spans="1:9" x14ac:dyDescent="0.25">
      <c r="A1086" t="s">
        <v>317</v>
      </c>
      <c r="B1086" t="str">
        <f t="shared" si="67"/>
        <v>TwinMax180.3980</v>
      </c>
      <c r="C1086">
        <v>0.39</v>
      </c>
      <c r="D1086">
        <v>80</v>
      </c>
      <c r="E1086">
        <v>0.21803961600000002</v>
      </c>
      <c r="F1086">
        <v>23.939393939393941</v>
      </c>
      <c r="G1086">
        <f t="shared" si="64"/>
        <v>5.9560038662115105</v>
      </c>
      <c r="H1086">
        <f t="shared" si="65"/>
        <v>2.5236066666666668</v>
      </c>
      <c r="I1086">
        <f t="shared" si="66"/>
        <v>3.6608373818717892</v>
      </c>
    </row>
    <row r="1087" spans="1:9" x14ac:dyDescent="0.25">
      <c r="A1087" t="s">
        <v>317</v>
      </c>
      <c r="B1087" t="str">
        <f t="shared" si="67"/>
        <v>TwinMax180.3990</v>
      </c>
      <c r="C1087">
        <v>0.39</v>
      </c>
      <c r="D1087">
        <v>90</v>
      </c>
      <c r="E1087">
        <v>0.22894159680000001</v>
      </c>
      <c r="F1087">
        <v>25.151515151515152</v>
      </c>
      <c r="G1087">
        <f t="shared" si="64"/>
        <v>6.2671513567951465</v>
      </c>
      <c r="H1087">
        <f t="shared" si="65"/>
        <v>2.6497869999999999</v>
      </c>
      <c r="I1087">
        <f t="shared" si="66"/>
        <v>3.6530408117839781</v>
      </c>
    </row>
    <row r="1088" spans="1:9" x14ac:dyDescent="0.25">
      <c r="A1088" t="s">
        <v>317</v>
      </c>
      <c r="B1088" t="str">
        <f t="shared" si="67"/>
        <v>TwinMax180.39100</v>
      </c>
      <c r="C1088">
        <v>0.39</v>
      </c>
      <c r="D1088">
        <v>100</v>
      </c>
      <c r="E1088">
        <v>0.23984357760000002</v>
      </c>
      <c r="F1088">
        <v>26.060606060606062</v>
      </c>
      <c r="G1088">
        <f t="shared" si="64"/>
        <v>6.5011177914980323</v>
      </c>
      <c r="H1088">
        <f t="shared" si="65"/>
        <v>2.7759673333333335</v>
      </c>
      <c r="I1088">
        <f t="shared" si="66"/>
        <v>3.6892667583051688</v>
      </c>
    </row>
    <row r="1089" spans="1:9" x14ac:dyDescent="0.25">
      <c r="A1089" t="s">
        <v>317</v>
      </c>
      <c r="B1089" t="str">
        <f t="shared" si="67"/>
        <v>TwinMax180.39110</v>
      </c>
      <c r="C1089">
        <v>0.39</v>
      </c>
      <c r="D1089">
        <v>110</v>
      </c>
      <c r="E1089">
        <v>0.25619654879999998</v>
      </c>
      <c r="F1089">
        <v>26.969696969696972</v>
      </c>
      <c r="G1089">
        <f t="shared" si="64"/>
        <v>6.7356034977139174</v>
      </c>
      <c r="H1089">
        <f t="shared" si="65"/>
        <v>2.9652378333333331</v>
      </c>
      <c r="I1089">
        <f t="shared" si="66"/>
        <v>3.8036168382974709</v>
      </c>
    </row>
    <row r="1090" spans="1:9" x14ac:dyDescent="0.25">
      <c r="A1090" t="s">
        <v>317</v>
      </c>
      <c r="B1090" t="str">
        <f t="shared" si="67"/>
        <v>TwinMax180.4325</v>
      </c>
      <c r="C1090">
        <v>0.43</v>
      </c>
      <c r="D1090">
        <v>25</v>
      </c>
      <c r="E1090">
        <v>0.14717674080000004</v>
      </c>
      <c r="F1090">
        <v>15.757575757575758</v>
      </c>
      <c r="G1090">
        <f t="shared" si="64"/>
        <v>3.8799044301259968</v>
      </c>
      <c r="H1090">
        <f t="shared" si="65"/>
        <v>1.7034345000000004</v>
      </c>
      <c r="I1090">
        <f t="shared" si="66"/>
        <v>3.7933084036098434</v>
      </c>
    </row>
    <row r="1091" spans="1:9" x14ac:dyDescent="0.25">
      <c r="A1091" t="s">
        <v>317</v>
      </c>
      <c r="B1091" t="str">
        <f t="shared" si="67"/>
        <v>TwinMax180.4330</v>
      </c>
      <c r="C1091">
        <v>0.43</v>
      </c>
      <c r="D1091">
        <v>30</v>
      </c>
      <c r="E1091">
        <v>0.1580787216</v>
      </c>
      <c r="F1091">
        <v>17.272727272727273</v>
      </c>
      <c r="G1091">
        <f t="shared" ref="G1091:G1154" si="68">(PI()*(G$1+F1091)^2)/10000-((PI()*(G$1)^2)/10000)</f>
        <v>4.2611939627476332</v>
      </c>
      <c r="H1091">
        <f t="shared" ref="H1091:H1154" si="69">E1091/0.0864</f>
        <v>1.8296148333333333</v>
      </c>
      <c r="I1091">
        <f t="shared" ref="I1091:I1154" si="70">E1091/G1091*100</f>
        <v>3.7097283761772313</v>
      </c>
    </row>
    <row r="1092" spans="1:9" x14ac:dyDescent="0.25">
      <c r="A1092" t="s">
        <v>317</v>
      </c>
      <c r="B1092" t="str">
        <f t="shared" si="67"/>
        <v>TwinMax180.4335</v>
      </c>
      <c r="C1092">
        <v>0.43</v>
      </c>
      <c r="D1092">
        <v>35</v>
      </c>
      <c r="E1092">
        <v>0.17443169280000001</v>
      </c>
      <c r="F1092">
        <v>18.484848484848484</v>
      </c>
      <c r="G1092">
        <f t="shared" si="68"/>
        <v>4.5672641318709353</v>
      </c>
      <c r="H1092">
        <f t="shared" si="69"/>
        <v>2.0188853333333334</v>
      </c>
      <c r="I1092">
        <f t="shared" si="70"/>
        <v>3.8191724359183441</v>
      </c>
    </row>
    <row r="1093" spans="1:9" x14ac:dyDescent="0.25">
      <c r="A1093" t="s">
        <v>317</v>
      </c>
      <c r="B1093" t="str">
        <f t="shared" si="67"/>
        <v>TwinMax180.4340</v>
      </c>
      <c r="C1093">
        <v>0.43</v>
      </c>
      <c r="D1093">
        <v>40</v>
      </c>
      <c r="E1093">
        <v>0.1853336736</v>
      </c>
      <c r="F1093">
        <v>19.393939393939394</v>
      </c>
      <c r="G1093">
        <f t="shared" si="68"/>
        <v>4.7974225754785493</v>
      </c>
      <c r="H1093">
        <f t="shared" si="69"/>
        <v>2.1450656666666665</v>
      </c>
      <c r="I1093">
        <f t="shared" si="70"/>
        <v>3.8631925931918292</v>
      </c>
    </row>
    <row r="1094" spans="1:9" x14ac:dyDescent="0.25">
      <c r="A1094" t="s">
        <v>317</v>
      </c>
      <c r="B1094" t="str">
        <f t="shared" si="67"/>
        <v>TwinMax180.4345</v>
      </c>
      <c r="C1094">
        <v>0.43</v>
      </c>
      <c r="D1094">
        <v>45</v>
      </c>
      <c r="E1094">
        <v>0.19623565440000001</v>
      </c>
      <c r="F1094">
        <v>20</v>
      </c>
      <c r="G1094">
        <f t="shared" si="68"/>
        <v>4.9511500220575186</v>
      </c>
      <c r="H1094">
        <f t="shared" si="69"/>
        <v>2.2712460000000001</v>
      </c>
      <c r="I1094">
        <f t="shared" si="70"/>
        <v>3.9634358386589867</v>
      </c>
    </row>
    <row r="1095" spans="1:9" x14ac:dyDescent="0.25">
      <c r="A1095" t="s">
        <v>317</v>
      </c>
      <c r="B1095" t="str">
        <f t="shared" si="67"/>
        <v>TwinMax180.4350</v>
      </c>
      <c r="C1095">
        <v>0.43</v>
      </c>
      <c r="D1095">
        <v>50</v>
      </c>
      <c r="E1095">
        <v>0.20713763520000003</v>
      </c>
      <c r="F1095">
        <v>20.90909090909091</v>
      </c>
      <c r="G1095">
        <f t="shared" si="68"/>
        <v>5.1821739181867912</v>
      </c>
      <c r="H1095">
        <f t="shared" si="69"/>
        <v>2.3974263333333337</v>
      </c>
      <c r="I1095">
        <f t="shared" si="70"/>
        <v>3.9971185543011676</v>
      </c>
    </row>
    <row r="1096" spans="1:9" x14ac:dyDescent="0.25">
      <c r="A1096" t="s">
        <v>317</v>
      </c>
      <c r="B1096" t="str">
        <f t="shared" si="67"/>
        <v>TwinMax180.4355</v>
      </c>
      <c r="C1096">
        <v>0.43</v>
      </c>
      <c r="D1096">
        <v>55</v>
      </c>
      <c r="E1096">
        <v>0.21803961600000002</v>
      </c>
      <c r="F1096">
        <v>21.515151515151516</v>
      </c>
      <c r="G1096">
        <f t="shared" si="68"/>
        <v>5.3364783331135115</v>
      </c>
      <c r="H1096">
        <f t="shared" si="69"/>
        <v>2.5236066666666668</v>
      </c>
      <c r="I1096">
        <f t="shared" si="70"/>
        <v>4.0858334352645471</v>
      </c>
    </row>
    <row r="1097" spans="1:9" x14ac:dyDescent="0.25">
      <c r="A1097" t="s">
        <v>317</v>
      </c>
      <c r="B1097" t="str">
        <f t="shared" si="67"/>
        <v>TwinMax180.4360</v>
      </c>
      <c r="C1097">
        <v>0.43</v>
      </c>
      <c r="D1097">
        <v>60</v>
      </c>
      <c r="E1097">
        <v>0.22894159680000001</v>
      </c>
      <c r="F1097">
        <v>22.424242424242426</v>
      </c>
      <c r="G1097">
        <f t="shared" si="68"/>
        <v>5.5683676817644496</v>
      </c>
      <c r="H1097">
        <f t="shared" si="69"/>
        <v>2.6497869999999999</v>
      </c>
      <c r="I1097">
        <f t="shared" si="70"/>
        <v>4.1114669483796593</v>
      </c>
    </row>
    <row r="1098" spans="1:9" x14ac:dyDescent="0.25">
      <c r="A1098" t="s">
        <v>317</v>
      </c>
      <c r="B1098" t="str">
        <f t="shared" si="67"/>
        <v>TwinMax180.4365</v>
      </c>
      <c r="C1098">
        <v>0.43</v>
      </c>
      <c r="D1098">
        <v>65</v>
      </c>
      <c r="E1098">
        <v>0.23439258720000003</v>
      </c>
      <c r="F1098">
        <v>23.030303030303031</v>
      </c>
      <c r="G1098">
        <f t="shared" si="68"/>
        <v>5.7232490650389352</v>
      </c>
      <c r="H1098">
        <f t="shared" si="69"/>
        <v>2.7128771666666669</v>
      </c>
      <c r="I1098">
        <f t="shared" si="70"/>
        <v>4.0954462148399529</v>
      </c>
    </row>
    <row r="1099" spans="1:9" x14ac:dyDescent="0.25">
      <c r="A1099" t="s">
        <v>317</v>
      </c>
      <c r="B1099" t="str">
        <f t="shared" si="67"/>
        <v>TwinMax180.4370</v>
      </c>
      <c r="C1099">
        <v>0.43</v>
      </c>
      <c r="D1099">
        <v>70</v>
      </c>
      <c r="E1099">
        <v>0.24529456800000002</v>
      </c>
      <c r="F1099">
        <v>23.939393939393941</v>
      </c>
      <c r="G1099">
        <f t="shared" si="68"/>
        <v>5.9560038662115105</v>
      </c>
      <c r="H1099">
        <f t="shared" si="69"/>
        <v>2.8390575</v>
      </c>
      <c r="I1099">
        <f t="shared" si="70"/>
        <v>4.1184420546057625</v>
      </c>
    </row>
    <row r="1100" spans="1:9" x14ac:dyDescent="0.25">
      <c r="A1100" t="s">
        <v>317</v>
      </c>
      <c r="B1100" t="str">
        <f t="shared" si="67"/>
        <v>TwinMax180.4380</v>
      </c>
      <c r="C1100">
        <v>0.43</v>
      </c>
      <c r="D1100">
        <v>80</v>
      </c>
      <c r="E1100">
        <v>0.2616475392</v>
      </c>
      <c r="F1100">
        <v>25.151515151515152</v>
      </c>
      <c r="G1100">
        <f t="shared" si="68"/>
        <v>6.2671513567951465</v>
      </c>
      <c r="H1100">
        <f t="shared" si="69"/>
        <v>3.0283279999999997</v>
      </c>
      <c r="I1100">
        <f t="shared" si="70"/>
        <v>4.1749037848959745</v>
      </c>
    </row>
    <row r="1101" spans="1:9" x14ac:dyDescent="0.25">
      <c r="A1101" t="s">
        <v>317</v>
      </c>
      <c r="B1101" t="str">
        <f t="shared" si="67"/>
        <v>TwinMax180.4390</v>
      </c>
      <c r="C1101">
        <v>0.43</v>
      </c>
      <c r="D1101">
        <v>90</v>
      </c>
      <c r="E1101">
        <v>0.27800051040000001</v>
      </c>
      <c r="F1101">
        <v>26.363636363636363</v>
      </c>
      <c r="G1101">
        <f t="shared" si="68"/>
        <v>6.579221996735221</v>
      </c>
      <c r="H1101">
        <f t="shared" si="69"/>
        <v>3.2175984999999998</v>
      </c>
      <c r="I1101">
        <f t="shared" si="70"/>
        <v>4.2254313737695881</v>
      </c>
    </row>
    <row r="1102" spans="1:9" x14ac:dyDescent="0.25">
      <c r="A1102" t="s">
        <v>317</v>
      </c>
      <c r="B1102" t="str">
        <f t="shared" si="67"/>
        <v>TwinMax180.43100</v>
      </c>
      <c r="C1102">
        <v>0.43</v>
      </c>
      <c r="D1102">
        <v>100</v>
      </c>
      <c r="E1102">
        <v>0.29435348160000008</v>
      </c>
      <c r="F1102">
        <v>27.272727272727273</v>
      </c>
      <c r="G1102">
        <f t="shared" si="68"/>
        <v>6.8138807934554109</v>
      </c>
      <c r="H1102">
        <f t="shared" si="69"/>
        <v>3.4068690000000008</v>
      </c>
      <c r="I1102">
        <f t="shared" si="70"/>
        <v>4.3199094689581363</v>
      </c>
    </row>
    <row r="1103" spans="1:9" x14ac:dyDescent="0.25">
      <c r="A1103" t="s">
        <v>317</v>
      </c>
      <c r="B1103" t="str">
        <f t="shared" si="67"/>
        <v>TwinMax180.43110</v>
      </c>
      <c r="C1103">
        <v>0.43</v>
      </c>
      <c r="D1103">
        <v>110</v>
      </c>
      <c r="E1103">
        <v>0.30525546240000007</v>
      </c>
      <c r="F1103">
        <v>28.181818181818183</v>
      </c>
      <c r="G1103">
        <f t="shared" si="68"/>
        <v>7.0490588616886143</v>
      </c>
      <c r="H1103">
        <f t="shared" si="69"/>
        <v>3.5330493333333339</v>
      </c>
      <c r="I1103">
        <f t="shared" si="70"/>
        <v>4.3304428064724032</v>
      </c>
    </row>
    <row r="1104" spans="1:9" x14ac:dyDescent="0.25">
      <c r="A1104" t="s">
        <v>317</v>
      </c>
      <c r="B1104" t="str">
        <f t="shared" si="67"/>
        <v>TwinMax180.4725</v>
      </c>
      <c r="C1104">
        <v>0.47</v>
      </c>
      <c r="D1104">
        <v>25</v>
      </c>
      <c r="E1104">
        <v>0.17443169280000001</v>
      </c>
      <c r="F1104">
        <v>16.363636363636363</v>
      </c>
      <c r="G1104">
        <f t="shared" si="68"/>
        <v>4.0322471526703296</v>
      </c>
      <c r="H1104">
        <f t="shared" si="69"/>
        <v>2.0188853333333334</v>
      </c>
      <c r="I1104">
        <f t="shared" si="70"/>
        <v>4.325917687969195</v>
      </c>
    </row>
    <row r="1105" spans="1:9" x14ac:dyDescent="0.25">
      <c r="A1105" t="s">
        <v>317</v>
      </c>
      <c r="B1105" t="str">
        <f t="shared" si="67"/>
        <v>TwinMax180.4730</v>
      </c>
      <c r="C1105">
        <v>0.47</v>
      </c>
      <c r="D1105">
        <v>30</v>
      </c>
      <c r="E1105">
        <v>0.19078466399999999</v>
      </c>
      <c r="F1105">
        <v>17.878787878787879</v>
      </c>
      <c r="G1105">
        <f t="shared" si="68"/>
        <v>4.4141136536397312</v>
      </c>
      <c r="H1105">
        <f t="shared" si="69"/>
        <v>2.2081558333333331</v>
      </c>
      <c r="I1105">
        <f t="shared" si="70"/>
        <v>4.3221511490236617</v>
      </c>
    </row>
    <row r="1106" spans="1:9" x14ac:dyDescent="0.25">
      <c r="A1106" t="s">
        <v>317</v>
      </c>
      <c r="B1106" t="str">
        <f t="shared" si="67"/>
        <v>TwinMax180.4735</v>
      </c>
      <c r="C1106">
        <v>0.47</v>
      </c>
      <c r="D1106">
        <v>35</v>
      </c>
      <c r="E1106">
        <v>0.20713763520000003</v>
      </c>
      <c r="F1106">
        <v>19.090909090909093</v>
      </c>
      <c r="G1106">
        <f t="shared" si="68"/>
        <v>4.7206453974412383</v>
      </c>
      <c r="H1106">
        <f t="shared" si="69"/>
        <v>2.3974263333333337</v>
      </c>
      <c r="I1106">
        <f t="shared" si="70"/>
        <v>4.3879092319087594</v>
      </c>
    </row>
    <row r="1107" spans="1:9" x14ac:dyDescent="0.25">
      <c r="A1107" t="s">
        <v>317</v>
      </c>
      <c r="B1107" t="str">
        <f t="shared" si="67"/>
        <v>TwinMax180.4740</v>
      </c>
      <c r="C1107">
        <v>0.47</v>
      </c>
      <c r="D1107">
        <v>40</v>
      </c>
      <c r="E1107">
        <v>0.21803961600000002</v>
      </c>
      <c r="F1107">
        <v>20.303030303030305</v>
      </c>
      <c r="G1107">
        <f t="shared" si="68"/>
        <v>5.0281002905991699</v>
      </c>
      <c r="H1107">
        <f t="shared" si="69"/>
        <v>2.5236066666666668</v>
      </c>
      <c r="I1107">
        <f t="shared" si="70"/>
        <v>4.3364213798133582</v>
      </c>
    </row>
    <row r="1108" spans="1:9" x14ac:dyDescent="0.25">
      <c r="A1108" t="s">
        <v>317</v>
      </c>
      <c r="B1108" t="str">
        <f t="shared" si="67"/>
        <v>TwinMax180.4745</v>
      </c>
      <c r="C1108">
        <v>0.47</v>
      </c>
      <c r="D1108">
        <v>45</v>
      </c>
      <c r="E1108">
        <v>0.23439258720000003</v>
      </c>
      <c r="F1108">
        <v>21.212121212121215</v>
      </c>
      <c r="G1108">
        <f t="shared" si="68"/>
        <v>5.2592972772327613</v>
      </c>
      <c r="H1108">
        <f t="shared" si="69"/>
        <v>2.7128771666666669</v>
      </c>
      <c r="I1108">
        <f t="shared" si="70"/>
        <v>4.4567282441833811</v>
      </c>
    </row>
    <row r="1109" spans="1:9" x14ac:dyDescent="0.25">
      <c r="A1109" t="s">
        <v>317</v>
      </c>
      <c r="B1109" t="str">
        <f t="shared" si="67"/>
        <v>TwinMax180.4750</v>
      </c>
      <c r="C1109">
        <v>0.47</v>
      </c>
      <c r="D1109">
        <v>50</v>
      </c>
      <c r="E1109">
        <v>0.24529456800000002</v>
      </c>
      <c r="F1109">
        <v>21.81818181818182</v>
      </c>
      <c r="G1109">
        <f t="shared" si="68"/>
        <v>5.4137170858290489</v>
      </c>
      <c r="H1109">
        <f t="shared" si="69"/>
        <v>2.8390575</v>
      </c>
      <c r="I1109">
        <f t="shared" si="70"/>
        <v>4.5309823936327103</v>
      </c>
    </row>
    <row r="1110" spans="1:9" x14ac:dyDescent="0.25">
      <c r="A1110" t="s">
        <v>317</v>
      </c>
      <c r="B1110" t="str">
        <f t="shared" si="67"/>
        <v>TwinMax180.4755</v>
      </c>
      <c r="C1110">
        <v>0.47</v>
      </c>
      <c r="D1110">
        <v>55</v>
      </c>
      <c r="E1110">
        <v>0.25619654879999998</v>
      </c>
      <c r="F1110">
        <v>22.72727272727273</v>
      </c>
      <c r="G1110">
        <f t="shared" si="68"/>
        <v>5.645779524984313</v>
      </c>
      <c r="H1110">
        <f t="shared" si="69"/>
        <v>2.9652378333333331</v>
      </c>
      <c r="I1110">
        <f t="shared" si="70"/>
        <v>4.5378418988246239</v>
      </c>
    </row>
    <row r="1111" spans="1:9" x14ac:dyDescent="0.25">
      <c r="A1111" t="s">
        <v>317</v>
      </c>
      <c r="B1111" t="str">
        <f t="shared" si="67"/>
        <v>TwinMax180.4760</v>
      </c>
      <c r="C1111">
        <v>0.47</v>
      </c>
      <c r="D1111">
        <v>60</v>
      </c>
      <c r="E1111">
        <v>0.27254952000000005</v>
      </c>
      <c r="F1111">
        <v>23.636363636363637</v>
      </c>
      <c r="G1111">
        <f t="shared" si="68"/>
        <v>5.8783612356525481</v>
      </c>
      <c r="H1111">
        <f t="shared" si="69"/>
        <v>3.1545083333333337</v>
      </c>
      <c r="I1111">
        <f t="shared" si="70"/>
        <v>4.636488114186891</v>
      </c>
    </row>
    <row r="1112" spans="1:9" x14ac:dyDescent="0.25">
      <c r="A1112" t="s">
        <v>317</v>
      </c>
      <c r="B1112" t="str">
        <f t="shared" si="67"/>
        <v>TwinMax180.4765</v>
      </c>
      <c r="C1112">
        <v>0.47</v>
      </c>
      <c r="D1112">
        <v>65</v>
      </c>
      <c r="E1112">
        <v>0.28345150079999998</v>
      </c>
      <c r="F1112">
        <v>24.242424242424242</v>
      </c>
      <c r="G1112">
        <f t="shared" si="68"/>
        <v>6.03370419360526</v>
      </c>
      <c r="H1112">
        <f t="shared" si="69"/>
        <v>3.2806886666666664</v>
      </c>
      <c r="I1112">
        <f t="shared" si="70"/>
        <v>4.6978024063627819</v>
      </c>
    </row>
    <row r="1113" spans="1:9" x14ac:dyDescent="0.25">
      <c r="A1113" t="s">
        <v>317</v>
      </c>
      <c r="B1113" t="str">
        <f t="shared" si="67"/>
        <v>TwinMax180.4770</v>
      </c>
      <c r="C1113">
        <v>0.47</v>
      </c>
      <c r="D1113">
        <v>70</v>
      </c>
      <c r="E1113">
        <v>0.28890249120000006</v>
      </c>
      <c r="F1113">
        <v>24.848484848484851</v>
      </c>
      <c r="G1113">
        <f t="shared" si="68"/>
        <v>6.1892779388970922</v>
      </c>
      <c r="H1113">
        <f t="shared" si="69"/>
        <v>3.3437788333333338</v>
      </c>
      <c r="I1113">
        <f t="shared" si="70"/>
        <v>4.6677899110712984</v>
      </c>
    </row>
    <row r="1114" spans="1:9" x14ac:dyDescent="0.25">
      <c r="A1114" t="s">
        <v>317</v>
      </c>
      <c r="B1114" t="str">
        <f t="shared" si="67"/>
        <v>TwinMax180.4780</v>
      </c>
      <c r="C1114">
        <v>0.47</v>
      </c>
      <c r="D1114">
        <v>80</v>
      </c>
      <c r="E1114">
        <v>0.31070645280000003</v>
      </c>
      <c r="F1114">
        <v>26.363636363636363</v>
      </c>
      <c r="G1114">
        <f t="shared" si="68"/>
        <v>6.579221996735221</v>
      </c>
      <c r="H1114">
        <f t="shared" si="69"/>
        <v>3.5961395</v>
      </c>
      <c r="I1114">
        <f t="shared" si="70"/>
        <v>4.722540947154247</v>
      </c>
    </row>
    <row r="1115" spans="1:9" x14ac:dyDescent="0.25">
      <c r="A1115" t="s">
        <v>317</v>
      </c>
      <c r="B1115" t="str">
        <f t="shared" si="67"/>
        <v>TwinMax180.4790</v>
      </c>
      <c r="C1115">
        <v>0.47</v>
      </c>
      <c r="D1115">
        <v>90</v>
      </c>
      <c r="E1115">
        <v>0.33251041440000001</v>
      </c>
      <c r="F1115">
        <v>27.575757575757578</v>
      </c>
      <c r="G1115">
        <f t="shared" si="68"/>
        <v>6.8922157860317128</v>
      </c>
      <c r="H1115">
        <f t="shared" si="69"/>
        <v>3.8485001666666667</v>
      </c>
      <c r="I1115">
        <f t="shared" si="70"/>
        <v>4.8244341837626559</v>
      </c>
    </row>
    <row r="1116" spans="1:9" x14ac:dyDescent="0.25">
      <c r="A1116" t="s">
        <v>317</v>
      </c>
      <c r="B1116" t="str">
        <f t="shared" si="67"/>
        <v>TwinMax180.47100</v>
      </c>
      <c r="C1116">
        <v>0.47</v>
      </c>
      <c r="D1116">
        <v>100</v>
      </c>
      <c r="E1116">
        <v>0.34886338560000002</v>
      </c>
      <c r="F1116">
        <v>28.484848484848488</v>
      </c>
      <c r="G1116">
        <f t="shared" si="68"/>
        <v>7.127566944769228</v>
      </c>
      <c r="H1116">
        <f t="shared" si="69"/>
        <v>4.0377706666666668</v>
      </c>
      <c r="I1116">
        <f t="shared" si="70"/>
        <v>4.8945648396332997</v>
      </c>
    </row>
    <row r="1117" spans="1:9" x14ac:dyDescent="0.25">
      <c r="A1117" t="s">
        <v>317</v>
      </c>
      <c r="B1117" t="str">
        <f t="shared" si="67"/>
        <v>TwinMax180.47110</v>
      </c>
      <c r="C1117">
        <v>0.47</v>
      </c>
      <c r="D1117">
        <v>110</v>
      </c>
      <c r="E1117">
        <v>0.36521635680000003</v>
      </c>
      <c r="F1117">
        <v>29.393939393939394</v>
      </c>
      <c r="G1117">
        <f t="shared" si="68"/>
        <v>7.3634373750197426</v>
      </c>
      <c r="H1117">
        <f t="shared" si="69"/>
        <v>4.227041166666667</v>
      </c>
      <c r="I1117">
        <f t="shared" si="70"/>
        <v>4.9598623333035521</v>
      </c>
    </row>
    <row r="1118" spans="1:9" x14ac:dyDescent="0.25">
      <c r="A1118" t="s">
        <v>317</v>
      </c>
      <c r="B1118" t="str">
        <f t="shared" si="67"/>
        <v>TwinMax180.5125</v>
      </c>
      <c r="C1118">
        <v>0.51</v>
      </c>
      <c r="D1118">
        <v>25</v>
      </c>
      <c r="E1118">
        <v>0.20168664479999998</v>
      </c>
      <c r="F1118">
        <v>17.272727272727273</v>
      </c>
      <c r="G1118">
        <f t="shared" si="68"/>
        <v>4.2611939627476332</v>
      </c>
      <c r="H1118">
        <f t="shared" si="69"/>
        <v>2.3343361666666662</v>
      </c>
      <c r="I1118">
        <f t="shared" si="70"/>
        <v>4.7331017213295707</v>
      </c>
    </row>
    <row r="1119" spans="1:9" x14ac:dyDescent="0.25">
      <c r="A1119" t="s">
        <v>317</v>
      </c>
      <c r="B1119" t="str">
        <f t="shared" si="67"/>
        <v>TwinMax180.5130</v>
      </c>
      <c r="C1119">
        <v>0.51</v>
      </c>
      <c r="D1119">
        <v>30</v>
      </c>
      <c r="E1119">
        <v>0.22349060639999999</v>
      </c>
      <c r="F1119">
        <v>19.090909090909093</v>
      </c>
      <c r="G1119">
        <f t="shared" si="68"/>
        <v>4.7206453974412383</v>
      </c>
      <c r="H1119">
        <f t="shared" si="69"/>
        <v>2.5866968333333329</v>
      </c>
      <c r="I1119">
        <f t="shared" si="70"/>
        <v>4.7343231186383967</v>
      </c>
    </row>
    <row r="1120" spans="1:9" x14ac:dyDescent="0.25">
      <c r="A1120" t="s">
        <v>317</v>
      </c>
      <c r="B1120" t="str">
        <f t="shared" si="67"/>
        <v>TwinMax180.5135</v>
      </c>
      <c r="C1120">
        <v>0.51</v>
      </c>
      <c r="D1120">
        <v>35</v>
      </c>
      <c r="E1120">
        <v>0.23984357760000002</v>
      </c>
      <c r="F1120">
        <v>20.303030303030305</v>
      </c>
      <c r="G1120">
        <f t="shared" si="68"/>
        <v>5.0281002905991699</v>
      </c>
      <c r="H1120">
        <f t="shared" si="69"/>
        <v>2.7759673333333335</v>
      </c>
      <c r="I1120">
        <f t="shared" si="70"/>
        <v>4.7700635177946946</v>
      </c>
    </row>
    <row r="1121" spans="1:9" x14ac:dyDescent="0.25">
      <c r="A1121" t="s">
        <v>317</v>
      </c>
      <c r="B1121" t="str">
        <f t="shared" si="67"/>
        <v>TwinMax180.5140</v>
      </c>
      <c r="C1121">
        <v>0.51</v>
      </c>
      <c r="D1121">
        <v>40</v>
      </c>
      <c r="E1121">
        <v>0.25619654879999998</v>
      </c>
      <c r="F1121">
        <v>21.515151515151516</v>
      </c>
      <c r="G1121">
        <f t="shared" si="68"/>
        <v>5.3364783331135115</v>
      </c>
      <c r="H1121">
        <f t="shared" si="69"/>
        <v>2.9652378333333331</v>
      </c>
      <c r="I1121">
        <f t="shared" si="70"/>
        <v>4.8008542864358423</v>
      </c>
    </row>
    <row r="1122" spans="1:9" x14ac:dyDescent="0.25">
      <c r="A1122" t="s">
        <v>317</v>
      </c>
      <c r="B1122" t="str">
        <f t="shared" si="67"/>
        <v>TwinMax180.5145</v>
      </c>
      <c r="C1122">
        <v>0.51</v>
      </c>
      <c r="D1122">
        <v>45</v>
      </c>
      <c r="E1122">
        <v>0.27254952000000005</v>
      </c>
      <c r="F1122">
        <v>22.121212121212121</v>
      </c>
      <c r="G1122">
        <f t="shared" si="68"/>
        <v>5.4910135353793592</v>
      </c>
      <c r="H1122">
        <f t="shared" si="69"/>
        <v>3.1545083333333337</v>
      </c>
      <c r="I1122">
        <f t="shared" si="70"/>
        <v>4.9635557851738268</v>
      </c>
    </row>
    <row r="1123" spans="1:9" x14ac:dyDescent="0.25">
      <c r="A1123" t="s">
        <v>317</v>
      </c>
      <c r="B1123" t="str">
        <f t="shared" si="67"/>
        <v>TwinMax180.5150</v>
      </c>
      <c r="C1123">
        <v>0.51</v>
      </c>
      <c r="D1123">
        <v>50</v>
      </c>
      <c r="E1123">
        <v>0.28890249120000006</v>
      </c>
      <c r="F1123">
        <v>23.030303030303031</v>
      </c>
      <c r="G1123">
        <f t="shared" si="68"/>
        <v>5.7232490650389352</v>
      </c>
      <c r="H1123">
        <f t="shared" si="69"/>
        <v>3.3437788333333338</v>
      </c>
      <c r="I1123">
        <f t="shared" si="70"/>
        <v>5.0478755671283135</v>
      </c>
    </row>
    <row r="1124" spans="1:9" x14ac:dyDescent="0.25">
      <c r="A1124" t="s">
        <v>317</v>
      </c>
      <c r="B1124" t="str">
        <f t="shared" si="67"/>
        <v>TwinMax180.5155</v>
      </c>
      <c r="C1124">
        <v>0.51</v>
      </c>
      <c r="D1124">
        <v>55</v>
      </c>
      <c r="E1124">
        <v>0.30525546240000007</v>
      </c>
      <c r="F1124">
        <v>23.939393939393941</v>
      </c>
      <c r="G1124">
        <f t="shared" si="68"/>
        <v>5.9560038662115105</v>
      </c>
      <c r="H1124">
        <f t="shared" si="69"/>
        <v>3.5330493333333339</v>
      </c>
      <c r="I1124">
        <f t="shared" si="70"/>
        <v>5.1251723346205056</v>
      </c>
    </row>
    <row r="1125" spans="1:9" x14ac:dyDescent="0.25">
      <c r="A1125" t="s">
        <v>317</v>
      </c>
      <c r="B1125" t="str">
        <f t="shared" si="67"/>
        <v>TwinMax180.5160</v>
      </c>
      <c r="C1125">
        <v>0.51</v>
      </c>
      <c r="D1125">
        <v>60</v>
      </c>
      <c r="E1125">
        <v>0.3161574432</v>
      </c>
      <c r="F1125">
        <v>24.545454545454547</v>
      </c>
      <c r="G1125">
        <f t="shared" si="68"/>
        <v>6.1114622178337825</v>
      </c>
      <c r="H1125">
        <f t="shared" si="69"/>
        <v>3.6592296666666666</v>
      </c>
      <c r="I1125">
        <f t="shared" si="70"/>
        <v>5.1731882147192998</v>
      </c>
    </row>
    <row r="1126" spans="1:9" x14ac:dyDescent="0.25">
      <c r="A1126" t="s">
        <v>317</v>
      </c>
      <c r="B1126" t="str">
        <f t="shared" ref="B1126:B1189" si="71">A1126&amp;C1126&amp;D1126</f>
        <v>TwinMax180.5165</v>
      </c>
      <c r="C1126">
        <v>0.51</v>
      </c>
      <c r="D1126">
        <v>65</v>
      </c>
      <c r="E1126">
        <v>0.32705942399999999</v>
      </c>
      <c r="F1126">
        <v>25.454545454545457</v>
      </c>
      <c r="G1126">
        <f t="shared" si="68"/>
        <v>6.345082471527995</v>
      </c>
      <c r="H1126">
        <f t="shared" si="69"/>
        <v>3.7854099999999997</v>
      </c>
      <c r="I1126">
        <f t="shared" si="70"/>
        <v>5.1545338530680906</v>
      </c>
    </row>
    <row r="1127" spans="1:9" x14ac:dyDescent="0.25">
      <c r="A1127" t="s">
        <v>317</v>
      </c>
      <c r="B1127" t="str">
        <f t="shared" si="71"/>
        <v>TwinMax180.5170</v>
      </c>
      <c r="C1127">
        <v>0.51</v>
      </c>
      <c r="D1127">
        <v>70</v>
      </c>
      <c r="E1127">
        <v>0.34341239520000005</v>
      </c>
      <c r="F1127">
        <v>26.060606060606062</v>
      </c>
      <c r="G1127">
        <f t="shared" si="68"/>
        <v>6.5011177914980323</v>
      </c>
      <c r="H1127">
        <f t="shared" si="69"/>
        <v>3.9746805000000003</v>
      </c>
      <c r="I1127">
        <f t="shared" si="70"/>
        <v>5.2823592221187647</v>
      </c>
    </row>
    <row r="1128" spans="1:9" x14ac:dyDescent="0.25">
      <c r="A1128" t="s">
        <v>317</v>
      </c>
      <c r="B1128" t="str">
        <f t="shared" si="71"/>
        <v>TwinMax180.5180</v>
      </c>
      <c r="C1128">
        <v>0.51</v>
      </c>
      <c r="D1128">
        <v>80</v>
      </c>
      <c r="E1128">
        <v>0.36521635680000003</v>
      </c>
      <c r="F1128">
        <v>27.575757575757578</v>
      </c>
      <c r="G1128">
        <f t="shared" si="68"/>
        <v>6.8922157860317128</v>
      </c>
      <c r="H1128">
        <f t="shared" si="69"/>
        <v>4.227041166666667</v>
      </c>
      <c r="I1128">
        <f t="shared" si="70"/>
        <v>5.2989686936409504</v>
      </c>
    </row>
    <row r="1129" spans="1:9" x14ac:dyDescent="0.25">
      <c r="A1129" t="s">
        <v>317</v>
      </c>
      <c r="B1129" t="str">
        <f t="shared" si="71"/>
        <v>TwinMax180.5190</v>
      </c>
      <c r="C1129">
        <v>0.51</v>
      </c>
      <c r="D1129">
        <v>90</v>
      </c>
      <c r="E1129">
        <v>0.38702031840000001</v>
      </c>
      <c r="F1129">
        <v>28.787878787878789</v>
      </c>
      <c r="G1129">
        <f t="shared" si="68"/>
        <v>7.2061327246846218</v>
      </c>
      <c r="H1129">
        <f t="shared" si="69"/>
        <v>4.4794018333333332</v>
      </c>
      <c r="I1129">
        <f t="shared" si="70"/>
        <v>5.3707076067897157</v>
      </c>
    </row>
    <row r="1130" spans="1:9" x14ac:dyDescent="0.25">
      <c r="A1130" t="s">
        <v>317</v>
      </c>
      <c r="B1130" t="str">
        <f t="shared" si="71"/>
        <v>TwinMax180.51100</v>
      </c>
      <c r="C1130">
        <v>0.51</v>
      </c>
      <c r="D1130">
        <v>100</v>
      </c>
      <c r="E1130">
        <v>0.40882428000000004</v>
      </c>
      <c r="F1130">
        <v>30</v>
      </c>
      <c r="G1130">
        <f t="shared" si="68"/>
        <v>7.5209728126939694</v>
      </c>
      <c r="H1130">
        <f t="shared" si="69"/>
        <v>4.7317625000000003</v>
      </c>
      <c r="I1130">
        <f t="shared" si="70"/>
        <v>5.4357898928976658</v>
      </c>
    </row>
    <row r="1131" spans="1:9" x14ac:dyDescent="0.25">
      <c r="A1131" t="s">
        <v>317</v>
      </c>
      <c r="B1131" t="str">
        <f t="shared" si="71"/>
        <v>TwinMax180.51110</v>
      </c>
      <c r="C1131">
        <v>0.51</v>
      </c>
      <c r="D1131">
        <v>110</v>
      </c>
      <c r="E1131">
        <v>0.43062824160000007</v>
      </c>
      <c r="F1131">
        <v>30.90909090909091</v>
      </c>
      <c r="G1131">
        <f t="shared" si="68"/>
        <v>7.7577086954661354</v>
      </c>
      <c r="H1131">
        <f t="shared" si="69"/>
        <v>4.9841231666666674</v>
      </c>
      <c r="I1131">
        <f t="shared" si="70"/>
        <v>5.5509720525040285</v>
      </c>
    </row>
    <row r="1132" spans="1:9" x14ac:dyDescent="0.25">
      <c r="A1132" t="s">
        <v>317</v>
      </c>
      <c r="B1132" t="str">
        <f t="shared" si="71"/>
        <v>TwinMax180.5525</v>
      </c>
      <c r="C1132">
        <v>0.55000000000000004</v>
      </c>
      <c r="D1132">
        <v>25</v>
      </c>
      <c r="E1132">
        <v>0.23439258720000003</v>
      </c>
      <c r="F1132">
        <v>18.181818181818183</v>
      </c>
      <c r="G1132">
        <f t="shared" si="68"/>
        <v>4.4906600443379432</v>
      </c>
      <c r="H1132">
        <f t="shared" si="69"/>
        <v>2.7128771666666669</v>
      </c>
      <c r="I1132">
        <f t="shared" si="70"/>
        <v>5.2195575903264899</v>
      </c>
    </row>
    <row r="1133" spans="1:9" x14ac:dyDescent="0.25">
      <c r="A1133" t="s">
        <v>317</v>
      </c>
      <c r="B1133" t="str">
        <f t="shared" si="71"/>
        <v>TwinMax180.5530</v>
      </c>
      <c r="C1133">
        <v>0.55000000000000004</v>
      </c>
      <c r="D1133">
        <v>30</v>
      </c>
      <c r="E1133">
        <v>0.2616475392</v>
      </c>
      <c r="F1133">
        <v>20</v>
      </c>
      <c r="G1133">
        <f t="shared" si="68"/>
        <v>4.9511500220575186</v>
      </c>
      <c r="H1133">
        <f t="shared" si="69"/>
        <v>3.0283279999999997</v>
      </c>
      <c r="I1133">
        <f t="shared" si="70"/>
        <v>5.2845811182119817</v>
      </c>
    </row>
    <row r="1134" spans="1:9" x14ac:dyDescent="0.25">
      <c r="A1134" t="s">
        <v>317</v>
      </c>
      <c r="B1134" t="str">
        <f t="shared" si="71"/>
        <v>TwinMax180.5535</v>
      </c>
      <c r="C1134">
        <v>0.55000000000000004</v>
      </c>
      <c r="D1134">
        <v>35</v>
      </c>
      <c r="E1134">
        <v>0.27800051040000001</v>
      </c>
      <c r="F1134">
        <v>21.212121212121215</v>
      </c>
      <c r="G1134">
        <f t="shared" si="68"/>
        <v>5.2592972772327613</v>
      </c>
      <c r="H1134">
        <f t="shared" si="69"/>
        <v>3.2175984999999998</v>
      </c>
      <c r="I1134">
        <f t="shared" si="70"/>
        <v>5.2858869872872658</v>
      </c>
    </row>
    <row r="1135" spans="1:9" x14ac:dyDescent="0.25">
      <c r="A1135" t="s">
        <v>317</v>
      </c>
      <c r="B1135" t="str">
        <f t="shared" si="71"/>
        <v>TwinMax180.5540</v>
      </c>
      <c r="C1135">
        <v>0.55000000000000004</v>
      </c>
      <c r="D1135">
        <v>40</v>
      </c>
      <c r="E1135">
        <v>0.29980447199999999</v>
      </c>
      <c r="F1135">
        <v>22.424242424242426</v>
      </c>
      <c r="G1135">
        <f t="shared" si="68"/>
        <v>5.5683676817644496</v>
      </c>
      <c r="H1135">
        <f t="shared" si="69"/>
        <v>3.4699591666666665</v>
      </c>
      <c r="I1135">
        <f t="shared" si="70"/>
        <v>5.3840638609733631</v>
      </c>
    </row>
    <row r="1136" spans="1:9" x14ac:dyDescent="0.25">
      <c r="A1136" t="s">
        <v>317</v>
      </c>
      <c r="B1136" t="str">
        <f t="shared" si="71"/>
        <v>TwinMax180.5545</v>
      </c>
      <c r="C1136">
        <v>0.55000000000000004</v>
      </c>
      <c r="D1136">
        <v>45</v>
      </c>
      <c r="E1136">
        <v>0.3161574432</v>
      </c>
      <c r="F1136">
        <v>23.333333333333336</v>
      </c>
      <c r="G1136">
        <f t="shared" si="68"/>
        <v>5.8007763019283587</v>
      </c>
      <c r="H1136">
        <f t="shared" si="69"/>
        <v>3.6592296666666666</v>
      </c>
      <c r="I1136">
        <f t="shared" si="70"/>
        <v>5.4502609089562624</v>
      </c>
    </row>
    <row r="1137" spans="1:9" x14ac:dyDescent="0.25">
      <c r="A1137" t="s">
        <v>317</v>
      </c>
      <c r="B1137" t="str">
        <f t="shared" si="71"/>
        <v>TwinMax180.5550</v>
      </c>
      <c r="C1137">
        <v>0.55000000000000004</v>
      </c>
      <c r="D1137">
        <v>50</v>
      </c>
      <c r="E1137">
        <v>0.33796140480000003</v>
      </c>
      <c r="F1137">
        <v>23.636363636363637</v>
      </c>
      <c r="G1137">
        <f t="shared" si="68"/>
        <v>5.8783612356525481</v>
      </c>
      <c r="H1137">
        <f t="shared" si="69"/>
        <v>3.9115903333333333</v>
      </c>
      <c r="I1137">
        <f t="shared" si="70"/>
        <v>5.749245261591744</v>
      </c>
    </row>
    <row r="1138" spans="1:9" x14ac:dyDescent="0.25">
      <c r="A1138" t="s">
        <v>317</v>
      </c>
      <c r="B1138" t="str">
        <f t="shared" si="71"/>
        <v>TwinMax180.5555</v>
      </c>
      <c r="C1138">
        <v>0.55000000000000004</v>
      </c>
      <c r="D1138">
        <v>55</v>
      </c>
      <c r="E1138">
        <v>0.35431437600000004</v>
      </c>
      <c r="F1138">
        <v>24.545454545454547</v>
      </c>
      <c r="G1138">
        <f t="shared" si="68"/>
        <v>6.1114622178337825</v>
      </c>
      <c r="H1138">
        <f t="shared" si="69"/>
        <v>4.1008608333333338</v>
      </c>
      <c r="I1138">
        <f t="shared" si="70"/>
        <v>5.7975385164957682</v>
      </c>
    </row>
    <row r="1139" spans="1:9" x14ac:dyDescent="0.25">
      <c r="A1139" t="s">
        <v>317</v>
      </c>
      <c r="B1139" t="str">
        <f t="shared" si="71"/>
        <v>TwinMax180.5560</v>
      </c>
      <c r="C1139">
        <v>0.55000000000000004</v>
      </c>
      <c r="D1139">
        <v>60</v>
      </c>
      <c r="E1139">
        <v>0.36521635680000003</v>
      </c>
      <c r="F1139">
        <v>25.454545454545457</v>
      </c>
      <c r="G1139">
        <f t="shared" si="68"/>
        <v>6.345082471527995</v>
      </c>
      <c r="H1139">
        <f t="shared" si="69"/>
        <v>4.227041166666667</v>
      </c>
      <c r="I1139">
        <f t="shared" si="70"/>
        <v>5.7558961359260348</v>
      </c>
    </row>
    <row r="1140" spans="1:9" x14ac:dyDescent="0.25">
      <c r="A1140" t="s">
        <v>317</v>
      </c>
      <c r="B1140" t="str">
        <f t="shared" si="71"/>
        <v>TwinMax180.5565</v>
      </c>
      <c r="C1140">
        <v>0.55000000000000004</v>
      </c>
      <c r="D1140">
        <v>65</v>
      </c>
      <c r="E1140">
        <v>0.38156932799999999</v>
      </c>
      <c r="F1140">
        <v>26.363636363636363</v>
      </c>
      <c r="G1140">
        <f t="shared" si="68"/>
        <v>6.579221996735221</v>
      </c>
      <c r="H1140">
        <f t="shared" si="69"/>
        <v>4.4163116666666662</v>
      </c>
      <c r="I1140">
        <f t="shared" si="70"/>
        <v>5.7996116894876701</v>
      </c>
    </row>
    <row r="1141" spans="1:9" x14ac:dyDescent="0.25">
      <c r="A1141" t="s">
        <v>317</v>
      </c>
      <c r="B1141" t="str">
        <f t="shared" si="71"/>
        <v>TwinMax180.5570</v>
      </c>
      <c r="C1141">
        <v>0.55000000000000004</v>
      </c>
      <c r="D1141">
        <v>70</v>
      </c>
      <c r="E1141">
        <v>0.3979222992</v>
      </c>
      <c r="F1141">
        <v>26.969696969696972</v>
      </c>
      <c r="G1141">
        <f t="shared" si="68"/>
        <v>6.7356034977139174</v>
      </c>
      <c r="H1141">
        <f t="shared" si="69"/>
        <v>4.6055821666666663</v>
      </c>
      <c r="I1141">
        <f t="shared" si="70"/>
        <v>5.9077453020364983</v>
      </c>
    </row>
    <row r="1142" spans="1:9" x14ac:dyDescent="0.25">
      <c r="A1142" t="s">
        <v>317</v>
      </c>
      <c r="B1142" t="str">
        <f t="shared" si="71"/>
        <v>TwinMax180.5580</v>
      </c>
      <c r="C1142">
        <v>0.55000000000000004</v>
      </c>
      <c r="D1142">
        <v>80</v>
      </c>
      <c r="E1142">
        <v>0.42517725119999994</v>
      </c>
      <c r="F1142">
        <v>28.484848484848488</v>
      </c>
      <c r="G1142">
        <f t="shared" si="68"/>
        <v>7.127566944769228</v>
      </c>
      <c r="H1142">
        <f t="shared" si="69"/>
        <v>4.9210329999999987</v>
      </c>
      <c r="I1142">
        <f t="shared" si="70"/>
        <v>5.9652508983030827</v>
      </c>
    </row>
    <row r="1143" spans="1:9" x14ac:dyDescent="0.25">
      <c r="A1143" t="s">
        <v>317</v>
      </c>
      <c r="B1143" t="str">
        <f t="shared" si="71"/>
        <v>TwinMax180.5590</v>
      </c>
      <c r="C1143">
        <v>0.55000000000000004</v>
      </c>
      <c r="D1143">
        <v>90</v>
      </c>
      <c r="E1143">
        <v>0.45243220320000005</v>
      </c>
      <c r="F1143">
        <v>30</v>
      </c>
      <c r="G1143">
        <f t="shared" si="68"/>
        <v>7.5209728126939694</v>
      </c>
      <c r="H1143">
        <f t="shared" si="69"/>
        <v>5.2364838333333337</v>
      </c>
      <c r="I1143">
        <f t="shared" si="70"/>
        <v>6.015607481473416</v>
      </c>
    </row>
    <row r="1144" spans="1:9" x14ac:dyDescent="0.25">
      <c r="A1144" t="s">
        <v>317</v>
      </c>
      <c r="B1144" t="str">
        <f t="shared" si="71"/>
        <v>TwinMax180.55100</v>
      </c>
      <c r="C1144">
        <v>0.55000000000000004</v>
      </c>
      <c r="D1144">
        <v>100</v>
      </c>
      <c r="E1144">
        <v>0.47423616479999997</v>
      </c>
      <c r="F1144">
        <v>31.212121212121215</v>
      </c>
      <c r="G1144">
        <f t="shared" si="68"/>
        <v>7.8367360500597343</v>
      </c>
      <c r="H1144">
        <f t="shared" si="69"/>
        <v>5.488844499999999</v>
      </c>
      <c r="I1144">
        <f t="shared" si="70"/>
        <v>6.051450014019359</v>
      </c>
    </row>
    <row r="1145" spans="1:9" x14ac:dyDescent="0.25">
      <c r="A1145" t="s">
        <v>317</v>
      </c>
      <c r="B1145" t="str">
        <f t="shared" si="71"/>
        <v>TwinMax180.55110</v>
      </c>
      <c r="C1145">
        <v>0.55000000000000004</v>
      </c>
      <c r="D1145">
        <v>110</v>
      </c>
      <c r="E1145">
        <v>0.49604012639999995</v>
      </c>
      <c r="F1145">
        <v>32.121212121212125</v>
      </c>
      <c r="G1145">
        <f t="shared" si="68"/>
        <v>8.0741642948492256</v>
      </c>
      <c r="H1145">
        <f t="shared" si="69"/>
        <v>5.7412051666666661</v>
      </c>
      <c r="I1145">
        <f t="shared" si="70"/>
        <v>6.1435475955875738</v>
      </c>
    </row>
    <row r="1146" spans="1:9" x14ac:dyDescent="0.25">
      <c r="A1146" t="s">
        <v>317</v>
      </c>
      <c r="B1146" t="str">
        <f t="shared" si="71"/>
        <v>TwinMax180.5925</v>
      </c>
      <c r="C1146">
        <v>0.59000000000000008</v>
      </c>
      <c r="D1146">
        <v>25</v>
      </c>
      <c r="E1146">
        <v>0.27254952000000005</v>
      </c>
      <c r="F1146">
        <v>18.787878787878789</v>
      </c>
      <c r="G1146">
        <f t="shared" si="68"/>
        <v>4.6439259162387003</v>
      </c>
      <c r="H1146">
        <f t="shared" si="69"/>
        <v>3.1545083333333337</v>
      </c>
      <c r="I1146">
        <f t="shared" si="70"/>
        <v>5.8689463379887137</v>
      </c>
    </row>
    <row r="1147" spans="1:9" x14ac:dyDescent="0.25">
      <c r="A1147" t="s">
        <v>317</v>
      </c>
      <c r="B1147" t="str">
        <f t="shared" si="71"/>
        <v>TwinMax180.5930</v>
      </c>
      <c r="C1147">
        <v>0.59000000000000008</v>
      </c>
      <c r="D1147">
        <v>30</v>
      </c>
      <c r="E1147">
        <v>0.29980447199999999</v>
      </c>
      <c r="F1147">
        <v>20.606060606060606</v>
      </c>
      <c r="G1147">
        <f t="shared" si="68"/>
        <v>5.105108255975594</v>
      </c>
      <c r="H1147">
        <f t="shared" si="69"/>
        <v>3.4699591666666665</v>
      </c>
      <c r="I1147">
        <f t="shared" si="70"/>
        <v>5.8726369151736408</v>
      </c>
    </row>
    <row r="1148" spans="1:9" x14ac:dyDescent="0.25">
      <c r="A1148" t="s">
        <v>317</v>
      </c>
      <c r="B1148" t="str">
        <f t="shared" si="71"/>
        <v>TwinMax180.5935</v>
      </c>
      <c r="C1148">
        <v>0.59000000000000008</v>
      </c>
      <c r="D1148">
        <v>35</v>
      </c>
      <c r="E1148">
        <v>0.32160843359999997</v>
      </c>
      <c r="F1148">
        <v>22.121212121212121</v>
      </c>
      <c r="G1148">
        <f t="shared" si="68"/>
        <v>5.4910135353793592</v>
      </c>
      <c r="H1148">
        <f t="shared" si="69"/>
        <v>3.7223198333333327</v>
      </c>
      <c r="I1148">
        <f t="shared" si="70"/>
        <v>5.8569958265051136</v>
      </c>
    </row>
    <row r="1149" spans="1:9" x14ac:dyDescent="0.25">
      <c r="A1149" t="s">
        <v>317</v>
      </c>
      <c r="B1149" t="str">
        <f t="shared" si="71"/>
        <v>TwinMax180.5940</v>
      </c>
      <c r="C1149">
        <v>0.59000000000000008</v>
      </c>
      <c r="D1149">
        <v>40</v>
      </c>
      <c r="E1149">
        <v>0.34341239520000005</v>
      </c>
      <c r="F1149">
        <v>23.333333333333336</v>
      </c>
      <c r="G1149">
        <f t="shared" si="68"/>
        <v>5.8007763019283587</v>
      </c>
      <c r="H1149">
        <f t="shared" si="69"/>
        <v>3.9746805000000003</v>
      </c>
      <c r="I1149">
        <f t="shared" si="70"/>
        <v>5.920110987314561</v>
      </c>
    </row>
    <row r="1150" spans="1:9" x14ac:dyDescent="0.25">
      <c r="A1150" t="s">
        <v>317</v>
      </c>
      <c r="B1150" t="str">
        <f t="shared" si="71"/>
        <v>TwinMax180.5945</v>
      </c>
      <c r="C1150">
        <v>0.59000000000000008</v>
      </c>
      <c r="D1150">
        <v>45</v>
      </c>
      <c r="E1150">
        <v>0.36521635680000003</v>
      </c>
      <c r="F1150">
        <v>24.242424242424242</v>
      </c>
      <c r="G1150">
        <f t="shared" si="68"/>
        <v>6.03370419360526</v>
      </c>
      <c r="H1150">
        <f t="shared" si="69"/>
        <v>4.227041166666667</v>
      </c>
      <c r="I1150">
        <f t="shared" si="70"/>
        <v>6.0529377158905078</v>
      </c>
    </row>
    <row r="1151" spans="1:9" x14ac:dyDescent="0.25">
      <c r="A1151" t="s">
        <v>317</v>
      </c>
      <c r="B1151" t="str">
        <f t="shared" si="71"/>
        <v>TwinMax180.5950</v>
      </c>
      <c r="C1151">
        <v>0.59000000000000008</v>
      </c>
      <c r="D1151">
        <v>50</v>
      </c>
      <c r="E1151">
        <v>0.38702031840000001</v>
      </c>
      <c r="F1151">
        <v>24.848484848484851</v>
      </c>
      <c r="G1151">
        <f t="shared" si="68"/>
        <v>6.1892779388970922</v>
      </c>
      <c r="H1151">
        <f t="shared" si="69"/>
        <v>4.4794018333333332</v>
      </c>
      <c r="I1151">
        <f t="shared" si="70"/>
        <v>6.2530770506804165</v>
      </c>
    </row>
    <row r="1152" spans="1:9" x14ac:dyDescent="0.25">
      <c r="A1152" t="s">
        <v>317</v>
      </c>
      <c r="B1152" t="str">
        <f t="shared" si="71"/>
        <v>TwinMax180.5955</v>
      </c>
      <c r="C1152">
        <v>0.59000000000000008</v>
      </c>
      <c r="D1152">
        <v>55</v>
      </c>
      <c r="E1152">
        <v>0.40337328959999996</v>
      </c>
      <c r="F1152">
        <v>25.757575757575758</v>
      </c>
      <c r="G1152">
        <f t="shared" si="68"/>
        <v>6.4230712830956307</v>
      </c>
      <c r="H1152">
        <f t="shared" si="69"/>
        <v>4.6686723333333324</v>
      </c>
      <c r="I1152">
        <f t="shared" si="70"/>
        <v>6.2800687057857507</v>
      </c>
    </row>
    <row r="1153" spans="1:9" x14ac:dyDescent="0.25">
      <c r="A1153" t="s">
        <v>317</v>
      </c>
      <c r="B1153" t="str">
        <f t="shared" si="71"/>
        <v>TwinMax180.5960</v>
      </c>
      <c r="C1153">
        <v>0.59000000000000008</v>
      </c>
      <c r="D1153">
        <v>60</v>
      </c>
      <c r="E1153">
        <v>0.41972626080000003</v>
      </c>
      <c r="F1153">
        <v>26.666666666666668</v>
      </c>
      <c r="G1153">
        <f t="shared" si="68"/>
        <v>6.6573838988071756</v>
      </c>
      <c r="H1153">
        <f t="shared" si="69"/>
        <v>4.8579428333333334</v>
      </c>
      <c r="I1153">
        <f t="shared" si="70"/>
        <v>6.304672633873551</v>
      </c>
    </row>
    <row r="1154" spans="1:9" x14ac:dyDescent="0.25">
      <c r="A1154" t="s">
        <v>317</v>
      </c>
      <c r="B1154" t="str">
        <f t="shared" si="71"/>
        <v>TwinMax180.5965</v>
      </c>
      <c r="C1154">
        <v>0.59000000000000008</v>
      </c>
      <c r="D1154">
        <v>65</v>
      </c>
      <c r="E1154">
        <v>0.44153022240000006</v>
      </c>
      <c r="F1154">
        <v>27.575757575757578</v>
      </c>
      <c r="G1154">
        <f t="shared" si="68"/>
        <v>6.8922157860317128</v>
      </c>
      <c r="H1154">
        <f t="shared" si="69"/>
        <v>5.1103035000000006</v>
      </c>
      <c r="I1154">
        <f t="shared" si="70"/>
        <v>6.4062158833569711</v>
      </c>
    </row>
    <row r="1155" spans="1:9" x14ac:dyDescent="0.25">
      <c r="A1155" t="s">
        <v>317</v>
      </c>
      <c r="B1155" t="str">
        <f t="shared" si="71"/>
        <v>TwinMax180.5970</v>
      </c>
      <c r="C1155">
        <v>0.59000000000000008</v>
      </c>
      <c r="D1155">
        <v>70</v>
      </c>
      <c r="E1155">
        <v>0.45788319360000002</v>
      </c>
      <c r="F1155">
        <v>28.181818181818183</v>
      </c>
      <c r="G1155">
        <f t="shared" ref="G1155:G1218" si="72">(PI()*(G$1+F1155)^2)/10000-((PI()*(G$1)^2)/10000)</f>
        <v>7.0490588616886143</v>
      </c>
      <c r="H1155">
        <f t="shared" ref="H1155:H1218" si="73">E1155/0.0864</f>
        <v>5.2995739999999998</v>
      </c>
      <c r="I1155">
        <f t="shared" ref="I1155:I1218" si="74">E1155/G1155*100</f>
        <v>6.4956642097086039</v>
      </c>
    </row>
    <row r="1156" spans="1:9" x14ac:dyDescent="0.25">
      <c r="A1156" t="s">
        <v>317</v>
      </c>
      <c r="B1156" t="str">
        <f t="shared" si="71"/>
        <v>TwinMax180.5980</v>
      </c>
      <c r="C1156">
        <v>0.59000000000000008</v>
      </c>
      <c r="D1156">
        <v>80</v>
      </c>
      <c r="E1156">
        <v>0.48513814560000007</v>
      </c>
      <c r="F1156">
        <v>29.696969696969699</v>
      </c>
      <c r="G1156">
        <f t="shared" si="72"/>
        <v>7.4421762454394695</v>
      </c>
      <c r="H1156">
        <f t="shared" si="73"/>
        <v>5.6150248333333339</v>
      </c>
      <c r="I1156">
        <f t="shared" si="74"/>
        <v>6.5187672207748433</v>
      </c>
    </row>
    <row r="1157" spans="1:9" x14ac:dyDescent="0.25">
      <c r="A1157" t="s">
        <v>317</v>
      </c>
      <c r="B1157" t="str">
        <f t="shared" si="71"/>
        <v>TwinMax180.5990</v>
      </c>
      <c r="C1157">
        <v>0.59000000000000008</v>
      </c>
      <c r="D1157">
        <v>90</v>
      </c>
      <c r="E1157">
        <v>0.51784408800000004</v>
      </c>
      <c r="F1157">
        <v>30.90909090909091</v>
      </c>
      <c r="G1157">
        <f t="shared" si="72"/>
        <v>7.7577086954661354</v>
      </c>
      <c r="H1157">
        <f t="shared" si="73"/>
        <v>5.9935658333333333</v>
      </c>
      <c r="I1157">
        <f t="shared" si="74"/>
        <v>6.6752195568086421</v>
      </c>
    </row>
    <row r="1158" spans="1:9" x14ac:dyDescent="0.25">
      <c r="A1158" t="s">
        <v>317</v>
      </c>
      <c r="B1158" t="str">
        <f t="shared" si="71"/>
        <v>TwinMax180.59100</v>
      </c>
      <c r="C1158">
        <v>0.59000000000000008</v>
      </c>
      <c r="D1158">
        <v>100</v>
      </c>
      <c r="E1158">
        <v>0.54509904000000009</v>
      </c>
      <c r="F1158">
        <v>32.121212121212125</v>
      </c>
      <c r="G1158">
        <f t="shared" si="72"/>
        <v>8.0741642948492256</v>
      </c>
      <c r="H1158">
        <f t="shared" si="73"/>
        <v>6.3090166666666674</v>
      </c>
      <c r="I1158">
        <f t="shared" si="74"/>
        <v>6.7511512039423902</v>
      </c>
    </row>
    <row r="1159" spans="1:9" x14ac:dyDescent="0.25">
      <c r="A1159" t="s">
        <v>317</v>
      </c>
      <c r="B1159" t="str">
        <f t="shared" si="71"/>
        <v>TwinMax180.59110</v>
      </c>
      <c r="C1159">
        <v>0.59000000000000008</v>
      </c>
      <c r="D1159">
        <v>110</v>
      </c>
      <c r="E1159">
        <v>0.57235399199999992</v>
      </c>
      <c r="F1159">
        <v>33.333333333333336</v>
      </c>
      <c r="G1159">
        <f t="shared" si="72"/>
        <v>8.3915430435887401</v>
      </c>
      <c r="H1159">
        <f t="shared" si="73"/>
        <v>6.6244674999999988</v>
      </c>
      <c r="I1159">
        <f t="shared" si="74"/>
        <v>6.8206048521348723</v>
      </c>
    </row>
    <row r="1160" spans="1:9" x14ac:dyDescent="0.25">
      <c r="A1160" t="s">
        <v>317</v>
      </c>
      <c r="B1160" t="str">
        <f t="shared" si="71"/>
        <v>TwinMax180.6325</v>
      </c>
      <c r="C1160">
        <v>0.63</v>
      </c>
      <c r="D1160">
        <v>25</v>
      </c>
      <c r="E1160">
        <v>0.31070645280000003</v>
      </c>
      <c r="F1160">
        <v>19.696969696969699</v>
      </c>
      <c r="G1160">
        <f t="shared" si="72"/>
        <v>4.8742574503506404</v>
      </c>
      <c r="H1160">
        <f t="shared" si="73"/>
        <v>3.5961395</v>
      </c>
      <c r="I1160">
        <f t="shared" si="74"/>
        <v>6.3744366391161531</v>
      </c>
    </row>
    <row r="1161" spans="1:9" x14ac:dyDescent="0.25">
      <c r="A1161" t="s">
        <v>317</v>
      </c>
      <c r="B1161" t="str">
        <f t="shared" si="71"/>
        <v>TwinMax180.6330</v>
      </c>
      <c r="C1161">
        <v>0.63</v>
      </c>
      <c r="D1161">
        <v>30</v>
      </c>
      <c r="E1161">
        <v>0.33796140480000003</v>
      </c>
      <c r="F1161">
        <v>21.515151515151516</v>
      </c>
      <c r="G1161">
        <f t="shared" si="72"/>
        <v>5.3364783331135115</v>
      </c>
      <c r="H1161">
        <f t="shared" si="73"/>
        <v>3.9115903333333333</v>
      </c>
      <c r="I1161">
        <f t="shared" si="74"/>
        <v>6.3330418246600475</v>
      </c>
    </row>
    <row r="1162" spans="1:9" x14ac:dyDescent="0.25">
      <c r="A1162" t="s">
        <v>317</v>
      </c>
      <c r="B1162" t="str">
        <f t="shared" si="71"/>
        <v>TwinMax180.6335</v>
      </c>
      <c r="C1162">
        <v>0.63</v>
      </c>
      <c r="D1162">
        <v>35</v>
      </c>
      <c r="E1162">
        <v>0.36521635680000003</v>
      </c>
      <c r="F1162">
        <v>22.72727272727273</v>
      </c>
      <c r="G1162">
        <f t="shared" si="72"/>
        <v>5.645779524984313</v>
      </c>
      <c r="H1162">
        <f t="shared" si="73"/>
        <v>4.227041166666667</v>
      </c>
      <c r="I1162">
        <f t="shared" si="74"/>
        <v>6.4688384515159543</v>
      </c>
    </row>
    <row r="1163" spans="1:9" x14ac:dyDescent="0.25">
      <c r="A1163" t="s">
        <v>317</v>
      </c>
      <c r="B1163" t="str">
        <f t="shared" si="71"/>
        <v>TwinMax180.6340</v>
      </c>
      <c r="C1163">
        <v>0.63</v>
      </c>
      <c r="D1163">
        <v>40</v>
      </c>
      <c r="E1163">
        <v>0.39247130880000003</v>
      </c>
      <c r="F1163">
        <v>23.939393939393941</v>
      </c>
      <c r="G1163">
        <f t="shared" si="72"/>
        <v>5.9560038662115105</v>
      </c>
      <c r="H1163">
        <f t="shared" si="73"/>
        <v>4.5424920000000002</v>
      </c>
      <c r="I1163">
        <f t="shared" si="74"/>
        <v>6.5895072873692211</v>
      </c>
    </row>
    <row r="1164" spans="1:9" x14ac:dyDescent="0.25">
      <c r="A1164" t="s">
        <v>317</v>
      </c>
      <c r="B1164" t="str">
        <f t="shared" si="71"/>
        <v>TwinMax180.6345</v>
      </c>
      <c r="C1164">
        <v>0.63</v>
      </c>
      <c r="D1164">
        <v>45</v>
      </c>
      <c r="E1164">
        <v>0.41427527040000006</v>
      </c>
      <c r="F1164">
        <v>25.151515151515152</v>
      </c>
      <c r="G1164">
        <f t="shared" si="72"/>
        <v>6.2671513567951465</v>
      </c>
      <c r="H1164">
        <f t="shared" si="73"/>
        <v>4.7948526666666673</v>
      </c>
      <c r="I1164">
        <f t="shared" si="74"/>
        <v>6.6102643260852938</v>
      </c>
    </row>
    <row r="1165" spans="1:9" x14ac:dyDescent="0.25">
      <c r="A1165" t="s">
        <v>317</v>
      </c>
      <c r="B1165" t="str">
        <f t="shared" si="71"/>
        <v>TwinMax180.6350</v>
      </c>
      <c r="C1165">
        <v>0.63</v>
      </c>
      <c r="D1165">
        <v>50</v>
      </c>
      <c r="E1165">
        <v>0.43607923200000004</v>
      </c>
      <c r="F1165">
        <v>25.757575757575758</v>
      </c>
      <c r="G1165">
        <f t="shared" si="72"/>
        <v>6.4230712830956307</v>
      </c>
      <c r="H1165">
        <f t="shared" si="73"/>
        <v>5.0472133333333336</v>
      </c>
      <c r="I1165">
        <f t="shared" si="74"/>
        <v>6.7892634657143267</v>
      </c>
    </row>
    <row r="1166" spans="1:9" x14ac:dyDescent="0.25">
      <c r="A1166" t="s">
        <v>317</v>
      </c>
      <c r="B1166" t="str">
        <f t="shared" si="71"/>
        <v>TwinMax180.6355</v>
      </c>
      <c r="C1166">
        <v>0.63</v>
      </c>
      <c r="D1166">
        <v>55</v>
      </c>
      <c r="E1166">
        <v>0.45788319360000002</v>
      </c>
      <c r="F1166">
        <v>26.666666666666668</v>
      </c>
      <c r="G1166">
        <f t="shared" si="72"/>
        <v>6.6573838988071756</v>
      </c>
      <c r="H1166">
        <f t="shared" si="73"/>
        <v>5.2995739999999998</v>
      </c>
      <c r="I1166">
        <f t="shared" si="74"/>
        <v>6.8778246914984189</v>
      </c>
    </row>
    <row r="1167" spans="1:9" x14ac:dyDescent="0.25">
      <c r="A1167" t="s">
        <v>317</v>
      </c>
      <c r="B1167" t="str">
        <f t="shared" si="71"/>
        <v>TwinMax180.6360</v>
      </c>
      <c r="C1167">
        <v>0.63</v>
      </c>
      <c r="D1167">
        <v>60</v>
      </c>
      <c r="E1167">
        <v>0.47968715520000005</v>
      </c>
      <c r="F1167">
        <v>27.575757575757578</v>
      </c>
      <c r="G1167">
        <f t="shared" si="72"/>
        <v>6.8922157860317128</v>
      </c>
      <c r="H1167">
        <f t="shared" si="73"/>
        <v>5.5519346666666669</v>
      </c>
      <c r="I1167">
        <f t="shared" si="74"/>
        <v>6.9598394782149793</v>
      </c>
    </row>
    <row r="1168" spans="1:9" x14ac:dyDescent="0.25">
      <c r="A1168" t="s">
        <v>317</v>
      </c>
      <c r="B1168" t="str">
        <f t="shared" si="71"/>
        <v>TwinMax180.6365</v>
      </c>
      <c r="C1168">
        <v>0.63</v>
      </c>
      <c r="D1168">
        <v>65</v>
      </c>
      <c r="E1168">
        <v>0.50149111680000003</v>
      </c>
      <c r="F1168">
        <v>28.181818181818183</v>
      </c>
      <c r="G1168">
        <f t="shared" si="72"/>
        <v>7.0490588616886143</v>
      </c>
      <c r="H1168">
        <f t="shared" si="73"/>
        <v>5.8042953333333331</v>
      </c>
      <c r="I1168">
        <f t="shared" si="74"/>
        <v>7.1142988963475178</v>
      </c>
    </row>
    <row r="1169" spans="1:9" x14ac:dyDescent="0.25">
      <c r="A1169" t="s">
        <v>317</v>
      </c>
      <c r="B1169" t="str">
        <f t="shared" si="71"/>
        <v>TwinMax180.6370</v>
      </c>
      <c r="C1169">
        <v>0.63</v>
      </c>
      <c r="D1169">
        <v>70</v>
      </c>
      <c r="E1169">
        <v>0.51784408800000004</v>
      </c>
      <c r="F1169">
        <v>29.090909090909093</v>
      </c>
      <c r="G1169">
        <f t="shared" si="72"/>
        <v>7.28475620143481</v>
      </c>
      <c r="H1169">
        <f t="shared" si="73"/>
        <v>5.9935658333333333</v>
      </c>
      <c r="I1169">
        <f t="shared" si="74"/>
        <v>7.1085987462148035</v>
      </c>
    </row>
    <row r="1170" spans="1:9" x14ac:dyDescent="0.25">
      <c r="A1170" t="s">
        <v>317</v>
      </c>
      <c r="B1170" t="str">
        <f t="shared" si="71"/>
        <v>TwinMax180.6380</v>
      </c>
      <c r="C1170">
        <v>0.63</v>
      </c>
      <c r="D1170">
        <v>80</v>
      </c>
      <c r="E1170">
        <v>0.55600102080000002</v>
      </c>
      <c r="F1170">
        <v>30.606060606060609</v>
      </c>
      <c r="G1170">
        <f t="shared" si="72"/>
        <v>7.6787390377073024</v>
      </c>
      <c r="H1170">
        <f t="shared" si="73"/>
        <v>6.4351969999999996</v>
      </c>
      <c r="I1170">
        <f t="shared" si="74"/>
        <v>7.2407854736265307</v>
      </c>
    </row>
    <row r="1171" spans="1:9" x14ac:dyDescent="0.25">
      <c r="A1171" t="s">
        <v>317</v>
      </c>
      <c r="B1171" t="str">
        <f t="shared" si="71"/>
        <v>TwinMax180.6390</v>
      </c>
      <c r="C1171">
        <v>0.63</v>
      </c>
      <c r="D1171">
        <v>90</v>
      </c>
      <c r="E1171">
        <v>0.58870696320000016</v>
      </c>
      <c r="F1171">
        <v>32.121212121212125</v>
      </c>
      <c r="G1171">
        <f t="shared" si="72"/>
        <v>8.0741642948492256</v>
      </c>
      <c r="H1171">
        <f t="shared" si="73"/>
        <v>6.8137380000000016</v>
      </c>
      <c r="I1171">
        <f t="shared" si="74"/>
        <v>7.2912433002577828</v>
      </c>
    </row>
    <row r="1172" spans="1:9" x14ac:dyDescent="0.25">
      <c r="A1172" t="s">
        <v>317</v>
      </c>
      <c r="B1172" t="str">
        <f t="shared" si="71"/>
        <v>TwinMax180.63100</v>
      </c>
      <c r="C1172">
        <v>0.63</v>
      </c>
      <c r="D1172">
        <v>100</v>
      </c>
      <c r="E1172">
        <v>0.62141290560000007</v>
      </c>
      <c r="F1172">
        <v>33.333333333333336</v>
      </c>
      <c r="G1172">
        <f t="shared" si="72"/>
        <v>8.3915430435887401</v>
      </c>
      <c r="H1172">
        <f t="shared" si="73"/>
        <v>7.1922790000000001</v>
      </c>
      <c r="I1172">
        <f t="shared" si="74"/>
        <v>7.4052281251750065</v>
      </c>
    </row>
    <row r="1173" spans="1:9" x14ac:dyDescent="0.25">
      <c r="A1173" t="s">
        <v>317</v>
      </c>
      <c r="B1173" t="str">
        <f t="shared" si="71"/>
        <v>TwinMax180.63110</v>
      </c>
      <c r="C1173">
        <v>0.63</v>
      </c>
      <c r="D1173">
        <v>110</v>
      </c>
      <c r="E1173">
        <v>0.64866785760000001</v>
      </c>
      <c r="F1173">
        <v>34.545454545454547</v>
      </c>
      <c r="G1173">
        <f t="shared" si="72"/>
        <v>8.7098449416846933</v>
      </c>
      <c r="H1173">
        <f t="shared" si="73"/>
        <v>7.5077298333333333</v>
      </c>
      <c r="I1173">
        <f t="shared" si="74"/>
        <v>7.4475247486384299</v>
      </c>
    </row>
    <row r="1174" spans="1:9" x14ac:dyDescent="0.25">
      <c r="A1174" t="s">
        <v>317</v>
      </c>
      <c r="B1174" t="str">
        <f t="shared" si="71"/>
        <v>TwinMax180.6725</v>
      </c>
      <c r="C1174">
        <v>0.67</v>
      </c>
      <c r="D1174">
        <v>25</v>
      </c>
      <c r="E1174">
        <v>0.34886338560000002</v>
      </c>
      <c r="F1174">
        <v>20.606060606060606</v>
      </c>
      <c r="G1174">
        <f t="shared" si="72"/>
        <v>5.105108255975594</v>
      </c>
      <c r="H1174">
        <f t="shared" si="73"/>
        <v>4.0377706666666668</v>
      </c>
      <c r="I1174">
        <f t="shared" si="74"/>
        <v>6.8336138649293279</v>
      </c>
    </row>
    <row r="1175" spans="1:9" x14ac:dyDescent="0.25">
      <c r="A1175" t="s">
        <v>317</v>
      </c>
      <c r="B1175" t="str">
        <f t="shared" si="71"/>
        <v>TwinMax180.6730</v>
      </c>
      <c r="C1175">
        <v>0.67</v>
      </c>
      <c r="D1175">
        <v>30</v>
      </c>
      <c r="E1175">
        <v>0.38156932799999999</v>
      </c>
      <c r="F1175">
        <v>22.424242424242426</v>
      </c>
      <c r="G1175">
        <f t="shared" si="72"/>
        <v>5.5683676817644496</v>
      </c>
      <c r="H1175">
        <f t="shared" si="73"/>
        <v>4.4163116666666662</v>
      </c>
      <c r="I1175">
        <f t="shared" si="74"/>
        <v>6.8524449139660994</v>
      </c>
    </row>
    <row r="1176" spans="1:9" x14ac:dyDescent="0.25">
      <c r="A1176" t="s">
        <v>317</v>
      </c>
      <c r="B1176" t="str">
        <f t="shared" si="71"/>
        <v>TwinMax180.6735</v>
      </c>
      <c r="C1176">
        <v>0.67</v>
      </c>
      <c r="D1176">
        <v>35</v>
      </c>
      <c r="E1176">
        <v>0.41427527040000006</v>
      </c>
      <c r="F1176">
        <v>23.636363636363637</v>
      </c>
      <c r="G1176">
        <f t="shared" si="72"/>
        <v>5.8783612356525481</v>
      </c>
      <c r="H1176">
        <f t="shared" si="73"/>
        <v>4.7948526666666673</v>
      </c>
      <c r="I1176">
        <f t="shared" si="74"/>
        <v>7.0474619335640742</v>
      </c>
    </row>
    <row r="1177" spans="1:9" x14ac:dyDescent="0.25">
      <c r="A1177" t="s">
        <v>317</v>
      </c>
      <c r="B1177" t="str">
        <f t="shared" si="71"/>
        <v>TwinMax180.6740</v>
      </c>
      <c r="C1177">
        <v>0.67</v>
      </c>
      <c r="D1177">
        <v>40</v>
      </c>
      <c r="E1177">
        <v>0.44153022240000006</v>
      </c>
      <c r="F1177">
        <v>24.848484848484851</v>
      </c>
      <c r="G1177">
        <f t="shared" si="72"/>
        <v>6.1892779388970922</v>
      </c>
      <c r="H1177">
        <f t="shared" si="73"/>
        <v>5.1103035000000006</v>
      </c>
      <c r="I1177">
        <f t="shared" si="74"/>
        <v>7.1337921282410397</v>
      </c>
    </row>
    <row r="1178" spans="1:9" x14ac:dyDescent="0.25">
      <c r="A1178" t="s">
        <v>317</v>
      </c>
      <c r="B1178" t="str">
        <f t="shared" si="71"/>
        <v>TwinMax180.6745</v>
      </c>
      <c r="C1178">
        <v>0.67</v>
      </c>
      <c r="D1178">
        <v>45</v>
      </c>
      <c r="E1178">
        <v>0.46878517440000006</v>
      </c>
      <c r="F1178">
        <v>26.060606060606062</v>
      </c>
      <c r="G1178">
        <f t="shared" si="72"/>
        <v>6.5011177914980323</v>
      </c>
      <c r="H1178">
        <f t="shared" si="73"/>
        <v>5.4257543333333338</v>
      </c>
      <c r="I1178">
        <f t="shared" si="74"/>
        <v>7.210839573051012</v>
      </c>
    </row>
    <row r="1179" spans="1:9" x14ac:dyDescent="0.25">
      <c r="A1179" t="s">
        <v>317</v>
      </c>
      <c r="B1179" t="str">
        <f t="shared" si="71"/>
        <v>TwinMax180.6750</v>
      </c>
      <c r="C1179">
        <v>0.67</v>
      </c>
      <c r="D1179">
        <v>50</v>
      </c>
      <c r="E1179">
        <v>0.49604012639999995</v>
      </c>
      <c r="F1179">
        <v>26.969696969696972</v>
      </c>
      <c r="G1179">
        <f t="shared" si="72"/>
        <v>6.7356034977139174</v>
      </c>
      <c r="H1179">
        <f t="shared" si="73"/>
        <v>5.7412051666666661</v>
      </c>
      <c r="I1179">
        <f t="shared" si="74"/>
        <v>7.3644496230865926</v>
      </c>
    </row>
    <row r="1180" spans="1:9" x14ac:dyDescent="0.25">
      <c r="A1180" t="s">
        <v>317</v>
      </c>
      <c r="B1180" t="str">
        <f t="shared" si="71"/>
        <v>TwinMax180.6755</v>
      </c>
      <c r="C1180">
        <v>0.67</v>
      </c>
      <c r="D1180">
        <v>55</v>
      </c>
      <c r="E1180">
        <v>0.51784408800000004</v>
      </c>
      <c r="F1180">
        <v>27.575757575757578</v>
      </c>
      <c r="G1180">
        <f t="shared" si="72"/>
        <v>6.8922157860317128</v>
      </c>
      <c r="H1180">
        <f t="shared" si="73"/>
        <v>5.9935658333333333</v>
      </c>
      <c r="I1180">
        <f t="shared" si="74"/>
        <v>7.5134630730729901</v>
      </c>
    </row>
    <row r="1181" spans="1:9" x14ac:dyDescent="0.25">
      <c r="A1181" t="s">
        <v>317</v>
      </c>
      <c r="B1181" t="str">
        <f t="shared" si="71"/>
        <v>TwinMax180.6760</v>
      </c>
      <c r="C1181">
        <v>0.67</v>
      </c>
      <c r="D1181">
        <v>60</v>
      </c>
      <c r="E1181">
        <v>0.53964804960000001</v>
      </c>
      <c r="F1181">
        <v>28.484848484848488</v>
      </c>
      <c r="G1181">
        <f t="shared" si="72"/>
        <v>7.127566944769228</v>
      </c>
      <c r="H1181">
        <f t="shared" si="73"/>
        <v>6.2459264999999995</v>
      </c>
      <c r="I1181">
        <f t="shared" si="74"/>
        <v>7.5712799863077596</v>
      </c>
    </row>
    <row r="1182" spans="1:9" x14ac:dyDescent="0.25">
      <c r="A1182" t="s">
        <v>317</v>
      </c>
      <c r="B1182" t="str">
        <f t="shared" si="71"/>
        <v>TwinMax180.6765</v>
      </c>
      <c r="C1182">
        <v>0.67</v>
      </c>
      <c r="D1182">
        <v>65</v>
      </c>
      <c r="E1182">
        <v>0.5614520112000001</v>
      </c>
      <c r="F1182">
        <v>29.393939393939394</v>
      </c>
      <c r="G1182">
        <f t="shared" si="72"/>
        <v>7.3634373750197426</v>
      </c>
      <c r="H1182">
        <f t="shared" si="73"/>
        <v>6.4982871666666675</v>
      </c>
      <c r="I1182">
        <f t="shared" si="74"/>
        <v>7.6248629900039697</v>
      </c>
    </row>
    <row r="1183" spans="1:9" x14ac:dyDescent="0.25">
      <c r="A1183" t="s">
        <v>317</v>
      </c>
      <c r="B1183" t="str">
        <f t="shared" si="71"/>
        <v>TwinMax180.6770</v>
      </c>
      <c r="C1183">
        <v>0.67</v>
      </c>
      <c r="D1183">
        <v>70</v>
      </c>
      <c r="E1183">
        <v>0.58325597279999997</v>
      </c>
      <c r="F1183">
        <v>30</v>
      </c>
      <c r="G1183">
        <f t="shared" si="72"/>
        <v>7.5209728126939694</v>
      </c>
      <c r="H1183">
        <f t="shared" si="73"/>
        <v>6.7506478333333328</v>
      </c>
      <c r="I1183">
        <f t="shared" si="74"/>
        <v>7.7550602472006682</v>
      </c>
    </row>
    <row r="1184" spans="1:9" x14ac:dyDescent="0.25">
      <c r="A1184" t="s">
        <v>317</v>
      </c>
      <c r="B1184" t="str">
        <f t="shared" si="71"/>
        <v>TwinMax180.6780</v>
      </c>
      <c r="C1184">
        <v>0.67</v>
      </c>
      <c r="D1184">
        <v>80</v>
      </c>
      <c r="E1184">
        <v>0.62686389600000003</v>
      </c>
      <c r="F1184">
        <v>31.515151515151516</v>
      </c>
      <c r="G1184">
        <f t="shared" si="72"/>
        <v>7.9158211014881203</v>
      </c>
      <c r="H1184">
        <f t="shared" si="73"/>
        <v>7.2553691666666671</v>
      </c>
      <c r="I1184">
        <f t="shared" si="74"/>
        <v>7.9191266195007106</v>
      </c>
    </row>
    <row r="1185" spans="1:9" x14ac:dyDescent="0.25">
      <c r="A1185" t="s">
        <v>317</v>
      </c>
      <c r="B1185" t="str">
        <f t="shared" si="71"/>
        <v>TwinMax180.6790</v>
      </c>
      <c r="C1185">
        <v>0.67</v>
      </c>
      <c r="D1185">
        <v>90</v>
      </c>
      <c r="E1185">
        <v>0.66502082880000002</v>
      </c>
      <c r="F1185">
        <v>33.030303030303031</v>
      </c>
      <c r="G1185">
        <f t="shared" si="72"/>
        <v>8.3121118111516878</v>
      </c>
      <c r="H1185">
        <f t="shared" si="73"/>
        <v>7.6970003333333334</v>
      </c>
      <c r="I1185">
        <f t="shared" si="74"/>
        <v>8.0006241964622671</v>
      </c>
    </row>
    <row r="1186" spans="1:9" x14ac:dyDescent="0.25">
      <c r="A1186" t="s">
        <v>317</v>
      </c>
      <c r="B1186" t="str">
        <f t="shared" si="71"/>
        <v>TwinMax180.67100</v>
      </c>
      <c r="C1186">
        <v>0.67</v>
      </c>
      <c r="D1186">
        <v>100</v>
      </c>
      <c r="E1186">
        <v>0.69772677120000004</v>
      </c>
      <c r="F1186">
        <v>34.242424242424242</v>
      </c>
      <c r="G1186">
        <f t="shared" si="72"/>
        <v>8.6301829219085349</v>
      </c>
      <c r="H1186">
        <f t="shared" si="73"/>
        <v>8.0755413333333337</v>
      </c>
      <c r="I1186">
        <f t="shared" si="74"/>
        <v>8.0847274908710762</v>
      </c>
    </row>
    <row r="1187" spans="1:9" x14ac:dyDescent="0.25">
      <c r="A1187" t="s">
        <v>317</v>
      </c>
      <c r="B1187" t="str">
        <f t="shared" si="71"/>
        <v>TwinMax180.67110</v>
      </c>
      <c r="C1187">
        <v>0.67</v>
      </c>
      <c r="D1187">
        <v>110</v>
      </c>
      <c r="E1187">
        <v>0.73588370400000003</v>
      </c>
      <c r="F1187">
        <v>35.454545454545453</v>
      </c>
      <c r="G1187">
        <f t="shared" si="72"/>
        <v>8.949177182021792</v>
      </c>
      <c r="H1187">
        <f t="shared" si="73"/>
        <v>8.5171724999999991</v>
      </c>
      <c r="I1187">
        <f t="shared" si="74"/>
        <v>8.2229202644275912</v>
      </c>
    </row>
    <row r="1188" spans="1:9" x14ac:dyDescent="0.25">
      <c r="A1188" t="s">
        <v>317</v>
      </c>
      <c r="B1188" t="str">
        <f t="shared" si="71"/>
        <v>TwinMax180.7125</v>
      </c>
      <c r="C1188">
        <v>0.71</v>
      </c>
      <c r="D1188">
        <v>25</v>
      </c>
      <c r="E1188">
        <v>0.39247130880000003</v>
      </c>
      <c r="F1188">
        <v>21.212121212121215</v>
      </c>
      <c r="G1188">
        <f t="shared" si="72"/>
        <v>5.2592972772327613</v>
      </c>
      <c r="H1188">
        <f t="shared" si="73"/>
        <v>4.5424920000000002</v>
      </c>
      <c r="I1188">
        <f t="shared" si="74"/>
        <v>7.4624286879349633</v>
      </c>
    </row>
    <row r="1189" spans="1:9" x14ac:dyDescent="0.25">
      <c r="A1189" t="s">
        <v>317</v>
      </c>
      <c r="B1189" t="str">
        <f t="shared" si="71"/>
        <v>TwinMax180.7130</v>
      </c>
      <c r="C1189">
        <v>0.71</v>
      </c>
      <c r="D1189">
        <v>30</v>
      </c>
      <c r="E1189">
        <v>0.43062824160000007</v>
      </c>
      <c r="F1189">
        <v>23.030303030303031</v>
      </c>
      <c r="G1189">
        <f t="shared" si="72"/>
        <v>5.7232490650389352</v>
      </c>
      <c r="H1189">
        <f t="shared" si="73"/>
        <v>4.9841231666666674</v>
      </c>
      <c r="I1189">
        <f t="shared" si="74"/>
        <v>7.5241918830780516</v>
      </c>
    </row>
    <row r="1190" spans="1:9" x14ac:dyDescent="0.25">
      <c r="A1190" t="s">
        <v>317</v>
      </c>
      <c r="B1190" t="str">
        <f t="shared" ref="B1190:B1253" si="75">A1190&amp;C1190&amp;D1190</f>
        <v>TwinMax180.7135</v>
      </c>
      <c r="C1190">
        <v>0.71</v>
      </c>
      <c r="D1190">
        <v>35</v>
      </c>
      <c r="E1190">
        <v>0.46333418399999998</v>
      </c>
      <c r="F1190">
        <v>24.545454545454547</v>
      </c>
      <c r="G1190">
        <f t="shared" si="72"/>
        <v>6.1114622178337825</v>
      </c>
      <c r="H1190">
        <f t="shared" si="73"/>
        <v>5.3626641666666659</v>
      </c>
      <c r="I1190">
        <f t="shared" si="74"/>
        <v>7.5813965215713877</v>
      </c>
    </row>
    <row r="1191" spans="1:9" x14ac:dyDescent="0.25">
      <c r="A1191" t="s">
        <v>317</v>
      </c>
      <c r="B1191" t="str">
        <f t="shared" si="75"/>
        <v>TwinMax180.7140</v>
      </c>
      <c r="C1191">
        <v>0.71</v>
      </c>
      <c r="D1191">
        <v>40</v>
      </c>
      <c r="E1191">
        <v>0.49604012639999995</v>
      </c>
      <c r="F1191">
        <v>25.757575757575758</v>
      </c>
      <c r="G1191">
        <f t="shared" si="72"/>
        <v>6.4230712830956307</v>
      </c>
      <c r="H1191">
        <f t="shared" si="73"/>
        <v>5.7412051666666661</v>
      </c>
      <c r="I1191">
        <f t="shared" si="74"/>
        <v>7.7227871922500437</v>
      </c>
    </row>
    <row r="1192" spans="1:9" x14ac:dyDescent="0.25">
      <c r="A1192" t="s">
        <v>317</v>
      </c>
      <c r="B1192" t="str">
        <f t="shared" si="75"/>
        <v>TwinMax180.7145</v>
      </c>
      <c r="C1192">
        <v>0.71</v>
      </c>
      <c r="D1192">
        <v>45</v>
      </c>
      <c r="E1192">
        <v>0.5232950784</v>
      </c>
      <c r="F1192">
        <v>26.969696969696972</v>
      </c>
      <c r="G1192">
        <f t="shared" si="72"/>
        <v>6.7356034977139174</v>
      </c>
      <c r="H1192">
        <f t="shared" si="73"/>
        <v>6.0566559999999994</v>
      </c>
      <c r="I1192">
        <f t="shared" si="74"/>
        <v>7.769089712267176</v>
      </c>
    </row>
    <row r="1193" spans="1:9" x14ac:dyDescent="0.25">
      <c r="A1193" t="s">
        <v>317</v>
      </c>
      <c r="B1193" t="str">
        <f t="shared" si="75"/>
        <v>TwinMax180.7150</v>
      </c>
      <c r="C1193">
        <v>0.71</v>
      </c>
      <c r="D1193">
        <v>50</v>
      </c>
      <c r="E1193">
        <v>0.55600102080000002</v>
      </c>
      <c r="F1193">
        <v>27.878787878787879</v>
      </c>
      <c r="G1193">
        <f t="shared" si="72"/>
        <v>6.9706084754427593</v>
      </c>
      <c r="H1193">
        <f t="shared" si="73"/>
        <v>6.4351969999999996</v>
      </c>
      <c r="I1193">
        <f t="shared" si="74"/>
        <v>7.9763627918391142</v>
      </c>
    </row>
    <row r="1194" spans="1:9" x14ac:dyDescent="0.25">
      <c r="A1194" t="s">
        <v>317</v>
      </c>
      <c r="B1194" t="str">
        <f t="shared" si="75"/>
        <v>TwinMax180.7155</v>
      </c>
      <c r="C1194">
        <v>0.71</v>
      </c>
      <c r="D1194">
        <v>55</v>
      </c>
      <c r="E1194">
        <v>0.58325597279999997</v>
      </c>
      <c r="F1194">
        <v>28.787878787878789</v>
      </c>
      <c r="G1194">
        <f t="shared" si="72"/>
        <v>7.2061327246846218</v>
      </c>
      <c r="H1194">
        <f t="shared" si="73"/>
        <v>6.7506478333333328</v>
      </c>
      <c r="I1194">
        <f t="shared" si="74"/>
        <v>8.093883294739431</v>
      </c>
    </row>
    <row r="1195" spans="1:9" x14ac:dyDescent="0.25">
      <c r="A1195" t="s">
        <v>317</v>
      </c>
      <c r="B1195" t="str">
        <f t="shared" si="75"/>
        <v>TwinMax180.7160</v>
      </c>
      <c r="C1195">
        <v>0.71</v>
      </c>
      <c r="D1195">
        <v>60</v>
      </c>
      <c r="E1195">
        <v>0.60505993440000005</v>
      </c>
      <c r="F1195">
        <v>29.393939393939394</v>
      </c>
      <c r="G1195">
        <f t="shared" si="72"/>
        <v>7.3634373750197426</v>
      </c>
      <c r="H1195">
        <f t="shared" si="73"/>
        <v>7.0030085</v>
      </c>
      <c r="I1195">
        <f t="shared" si="74"/>
        <v>8.2170853581596166</v>
      </c>
    </row>
    <row r="1196" spans="1:9" x14ac:dyDescent="0.25">
      <c r="A1196" t="s">
        <v>317</v>
      </c>
      <c r="B1196" t="str">
        <f t="shared" si="75"/>
        <v>TwinMax180.7165</v>
      </c>
      <c r="C1196">
        <v>0.71</v>
      </c>
      <c r="D1196">
        <v>65</v>
      </c>
      <c r="E1196">
        <v>0.6323148864</v>
      </c>
      <c r="F1196">
        <v>30.303030303030305</v>
      </c>
      <c r="G1196">
        <f t="shared" si="72"/>
        <v>7.5998270767832352</v>
      </c>
      <c r="H1196">
        <f t="shared" si="73"/>
        <v>7.3184593333333332</v>
      </c>
      <c r="I1196">
        <f t="shared" si="74"/>
        <v>8.3201220239821385</v>
      </c>
    </row>
    <row r="1197" spans="1:9" x14ac:dyDescent="0.25">
      <c r="A1197" t="s">
        <v>317</v>
      </c>
      <c r="B1197" t="str">
        <f t="shared" si="75"/>
        <v>TwinMax180.7170</v>
      </c>
      <c r="C1197">
        <v>0.71</v>
      </c>
      <c r="D1197">
        <v>70</v>
      </c>
      <c r="E1197">
        <v>0.65411884799999997</v>
      </c>
      <c r="F1197">
        <v>31.212121212121215</v>
      </c>
      <c r="G1197">
        <f t="shared" si="72"/>
        <v>7.8367360500597343</v>
      </c>
      <c r="H1197">
        <f t="shared" si="73"/>
        <v>7.5708199999999994</v>
      </c>
      <c r="I1197">
        <f t="shared" si="74"/>
        <v>8.3468276055439432</v>
      </c>
    </row>
    <row r="1198" spans="1:9" x14ac:dyDescent="0.25">
      <c r="A1198" t="s">
        <v>317</v>
      </c>
      <c r="B1198" t="str">
        <f t="shared" si="75"/>
        <v>TwinMax180.7180</v>
      </c>
      <c r="C1198">
        <v>0.71</v>
      </c>
      <c r="D1198">
        <v>80</v>
      </c>
      <c r="E1198">
        <v>0.70317776160000012</v>
      </c>
      <c r="F1198">
        <v>32.727272727272727</v>
      </c>
      <c r="G1198">
        <f t="shared" si="72"/>
        <v>8.2327382755494298</v>
      </c>
      <c r="H1198">
        <f t="shared" si="73"/>
        <v>8.1386315000000007</v>
      </c>
      <c r="I1198">
        <f t="shared" si="74"/>
        <v>8.5412378975824055</v>
      </c>
    </row>
    <row r="1199" spans="1:9" x14ac:dyDescent="0.25">
      <c r="A1199" t="s">
        <v>317</v>
      </c>
      <c r="B1199" t="str">
        <f t="shared" si="75"/>
        <v>TwinMax180.7190</v>
      </c>
      <c r="C1199">
        <v>0.71</v>
      </c>
      <c r="D1199">
        <v>90</v>
      </c>
      <c r="E1199">
        <v>0.74133469439999999</v>
      </c>
      <c r="F1199">
        <v>34.242424242424242</v>
      </c>
      <c r="G1199">
        <f t="shared" si="72"/>
        <v>8.6301829219085349</v>
      </c>
      <c r="H1199">
        <f t="shared" si="73"/>
        <v>8.5802626666666661</v>
      </c>
      <c r="I1199">
        <f t="shared" si="74"/>
        <v>8.5900229590505184</v>
      </c>
    </row>
    <row r="1200" spans="1:9" x14ac:dyDescent="0.25">
      <c r="A1200" t="s">
        <v>317</v>
      </c>
      <c r="B1200" t="str">
        <f t="shared" si="75"/>
        <v>TwinMax180.71100</v>
      </c>
      <c r="C1200">
        <v>0.71</v>
      </c>
      <c r="D1200">
        <v>100</v>
      </c>
      <c r="E1200">
        <v>0.78494261760000006</v>
      </c>
      <c r="F1200">
        <v>35.454545454545453</v>
      </c>
      <c r="G1200">
        <f t="shared" si="72"/>
        <v>8.949177182021792</v>
      </c>
      <c r="H1200">
        <f t="shared" si="73"/>
        <v>9.0849840000000004</v>
      </c>
      <c r="I1200">
        <f t="shared" si="74"/>
        <v>8.7711149487227651</v>
      </c>
    </row>
    <row r="1201" spans="1:9" x14ac:dyDescent="0.25">
      <c r="A1201" t="s">
        <v>317</v>
      </c>
      <c r="B1201" t="str">
        <f t="shared" si="75"/>
        <v>TwinMax180.71110</v>
      </c>
      <c r="C1201">
        <v>0.71</v>
      </c>
      <c r="D1201">
        <v>110</v>
      </c>
      <c r="E1201">
        <v>0.82309955039999994</v>
      </c>
      <c r="F1201">
        <v>36.666666666666671</v>
      </c>
      <c r="G1201">
        <f t="shared" si="72"/>
        <v>9.2690945914914877</v>
      </c>
      <c r="H1201">
        <f t="shared" si="73"/>
        <v>9.5266151666666659</v>
      </c>
      <c r="I1201">
        <f t="shared" si="74"/>
        <v>8.8800426220222128</v>
      </c>
    </row>
    <row r="1202" spans="1:9" x14ac:dyDescent="0.25">
      <c r="A1202" t="s">
        <v>317</v>
      </c>
      <c r="B1202" t="str">
        <f t="shared" si="75"/>
        <v>TwinMax180.7925</v>
      </c>
      <c r="C1202">
        <v>0.79</v>
      </c>
      <c r="D1202">
        <v>25</v>
      </c>
      <c r="E1202">
        <v>0.48513814560000007</v>
      </c>
      <c r="F1202">
        <v>22.424242424242426</v>
      </c>
      <c r="G1202">
        <f t="shared" si="72"/>
        <v>5.5683676817644496</v>
      </c>
      <c r="H1202">
        <f t="shared" si="73"/>
        <v>5.6150248333333339</v>
      </c>
      <c r="I1202">
        <f t="shared" si="74"/>
        <v>8.7123942477568974</v>
      </c>
    </row>
    <row r="1203" spans="1:9" x14ac:dyDescent="0.25">
      <c r="A1203" t="s">
        <v>317</v>
      </c>
      <c r="B1203" t="str">
        <f t="shared" si="75"/>
        <v>TwinMax180.7930</v>
      </c>
      <c r="C1203">
        <v>0.79</v>
      </c>
      <c r="D1203">
        <v>30</v>
      </c>
      <c r="E1203">
        <v>0.52874606879999997</v>
      </c>
      <c r="F1203">
        <v>24.545454545454547</v>
      </c>
      <c r="G1203">
        <f t="shared" si="72"/>
        <v>6.1114622178337825</v>
      </c>
      <c r="H1203">
        <f t="shared" si="73"/>
        <v>6.1197461666666664</v>
      </c>
      <c r="I1203">
        <f t="shared" si="74"/>
        <v>8.6517113246167607</v>
      </c>
    </row>
    <row r="1204" spans="1:9" x14ac:dyDescent="0.25">
      <c r="A1204" t="s">
        <v>317</v>
      </c>
      <c r="B1204" t="str">
        <f t="shared" si="75"/>
        <v>TwinMax180.7935</v>
      </c>
      <c r="C1204">
        <v>0.79</v>
      </c>
      <c r="D1204">
        <v>35</v>
      </c>
      <c r="E1204">
        <v>0.57235399199999992</v>
      </c>
      <c r="F1204">
        <v>26.363636363636363</v>
      </c>
      <c r="G1204">
        <f t="shared" si="72"/>
        <v>6.579221996735221</v>
      </c>
      <c r="H1204">
        <f t="shared" si="73"/>
        <v>6.6244674999999988</v>
      </c>
      <c r="I1204">
        <f t="shared" si="74"/>
        <v>8.6994175342315039</v>
      </c>
    </row>
    <row r="1205" spans="1:9" x14ac:dyDescent="0.25">
      <c r="A1205" t="s">
        <v>317</v>
      </c>
      <c r="B1205" t="str">
        <f t="shared" si="75"/>
        <v>TwinMax180.7940</v>
      </c>
      <c r="C1205">
        <v>0.79</v>
      </c>
      <c r="D1205">
        <v>40</v>
      </c>
      <c r="E1205">
        <v>0.61051092480000013</v>
      </c>
      <c r="F1205">
        <v>27.272727272727273</v>
      </c>
      <c r="G1205">
        <f t="shared" si="72"/>
        <v>6.8138807934554109</v>
      </c>
      <c r="H1205">
        <f t="shared" si="73"/>
        <v>7.0660986666666679</v>
      </c>
      <c r="I1205">
        <f t="shared" si="74"/>
        <v>8.9598122319131708</v>
      </c>
    </row>
    <row r="1206" spans="1:9" x14ac:dyDescent="0.25">
      <c r="A1206" t="s">
        <v>317</v>
      </c>
      <c r="B1206" t="str">
        <f t="shared" si="75"/>
        <v>TwinMax180.7945</v>
      </c>
      <c r="C1206">
        <v>0.79</v>
      </c>
      <c r="D1206">
        <v>45</v>
      </c>
      <c r="E1206">
        <v>0.64866785760000001</v>
      </c>
      <c r="F1206">
        <v>28.484848484848488</v>
      </c>
      <c r="G1206">
        <f t="shared" si="72"/>
        <v>7.127566944769228</v>
      </c>
      <c r="H1206">
        <f t="shared" si="73"/>
        <v>7.5077298333333333</v>
      </c>
      <c r="I1206">
        <f t="shared" si="74"/>
        <v>9.1008314986931662</v>
      </c>
    </row>
    <row r="1207" spans="1:9" x14ac:dyDescent="0.25">
      <c r="A1207" t="s">
        <v>317</v>
      </c>
      <c r="B1207" t="str">
        <f t="shared" si="75"/>
        <v>TwinMax180.7950</v>
      </c>
      <c r="C1207">
        <v>0.79</v>
      </c>
      <c r="D1207">
        <v>50</v>
      </c>
      <c r="E1207">
        <v>0.68682479040000011</v>
      </c>
      <c r="F1207">
        <v>29.696969696969699</v>
      </c>
      <c r="G1207">
        <f t="shared" si="72"/>
        <v>7.4421762454394695</v>
      </c>
      <c r="H1207">
        <f t="shared" si="73"/>
        <v>7.9493610000000006</v>
      </c>
      <c r="I1207">
        <f t="shared" si="74"/>
        <v>9.2288165148048336</v>
      </c>
    </row>
    <row r="1208" spans="1:9" x14ac:dyDescent="0.25">
      <c r="A1208" t="s">
        <v>317</v>
      </c>
      <c r="B1208" t="str">
        <f t="shared" si="75"/>
        <v>TwinMax180.7955</v>
      </c>
      <c r="C1208">
        <v>0.79</v>
      </c>
      <c r="D1208">
        <v>55</v>
      </c>
      <c r="E1208">
        <v>0.71953073280000013</v>
      </c>
      <c r="F1208">
        <v>30.606060606060609</v>
      </c>
      <c r="G1208">
        <f t="shared" si="72"/>
        <v>7.6787390377073024</v>
      </c>
      <c r="H1208">
        <f t="shared" si="73"/>
        <v>8.3279020000000017</v>
      </c>
      <c r="I1208">
        <f t="shared" si="74"/>
        <v>9.3704282599872766</v>
      </c>
    </row>
    <row r="1209" spans="1:9" x14ac:dyDescent="0.25">
      <c r="A1209" t="s">
        <v>317</v>
      </c>
      <c r="B1209" t="str">
        <f t="shared" si="75"/>
        <v>TwinMax180.7960</v>
      </c>
      <c r="C1209">
        <v>0.79</v>
      </c>
      <c r="D1209">
        <v>60</v>
      </c>
      <c r="E1209">
        <v>0.75223667519999993</v>
      </c>
      <c r="F1209">
        <v>31.212121212121215</v>
      </c>
      <c r="G1209">
        <f t="shared" si="72"/>
        <v>7.8367360500597343</v>
      </c>
      <c r="H1209">
        <f t="shared" si="73"/>
        <v>8.7064429999999984</v>
      </c>
      <c r="I1209">
        <f t="shared" si="74"/>
        <v>9.5988517463755354</v>
      </c>
    </row>
    <row r="1210" spans="1:9" x14ac:dyDescent="0.25">
      <c r="A1210" t="s">
        <v>317</v>
      </c>
      <c r="B1210" t="str">
        <f t="shared" si="75"/>
        <v>TwinMax180.7965</v>
      </c>
      <c r="C1210">
        <v>0.79</v>
      </c>
      <c r="D1210">
        <v>65</v>
      </c>
      <c r="E1210">
        <v>0.77949162719999998</v>
      </c>
      <c r="F1210">
        <v>32.121212121212125</v>
      </c>
      <c r="G1210">
        <f t="shared" si="72"/>
        <v>8.0741642948492256</v>
      </c>
      <c r="H1210">
        <f t="shared" si="73"/>
        <v>9.0218938333333334</v>
      </c>
      <c r="I1210">
        <f t="shared" si="74"/>
        <v>9.6541462216376157</v>
      </c>
    </row>
    <row r="1211" spans="1:9" x14ac:dyDescent="0.25">
      <c r="A1211" t="s">
        <v>317</v>
      </c>
      <c r="B1211" t="str">
        <f t="shared" si="75"/>
        <v>TwinMax180.7970</v>
      </c>
      <c r="C1211">
        <v>0.79</v>
      </c>
      <c r="D1211">
        <v>70</v>
      </c>
      <c r="E1211">
        <v>0.80674657919999992</v>
      </c>
      <c r="F1211">
        <v>33.030303030303031</v>
      </c>
      <c r="G1211">
        <f t="shared" si="72"/>
        <v>8.3121118111516878</v>
      </c>
      <c r="H1211">
        <f t="shared" si="73"/>
        <v>9.3373446666666648</v>
      </c>
      <c r="I1211">
        <f t="shared" si="74"/>
        <v>9.7056752547247171</v>
      </c>
    </row>
    <row r="1212" spans="1:9" x14ac:dyDescent="0.25">
      <c r="A1212" t="s">
        <v>317</v>
      </c>
      <c r="B1212" t="str">
        <f t="shared" si="75"/>
        <v>TwinMax180.7980</v>
      </c>
      <c r="C1212">
        <v>0.79</v>
      </c>
      <c r="D1212">
        <v>80</v>
      </c>
      <c r="E1212">
        <v>0.86670747359999989</v>
      </c>
      <c r="F1212">
        <v>34.242424242424242</v>
      </c>
      <c r="G1212">
        <f t="shared" si="72"/>
        <v>8.6301829219085349</v>
      </c>
      <c r="H1212">
        <f t="shared" si="73"/>
        <v>10.031336499999998</v>
      </c>
      <c r="I1212">
        <f t="shared" si="74"/>
        <v>10.042747430066413</v>
      </c>
    </row>
    <row r="1213" spans="1:9" x14ac:dyDescent="0.25">
      <c r="A1213" t="s">
        <v>317</v>
      </c>
      <c r="B1213" t="str">
        <f t="shared" si="75"/>
        <v>TwinMax180.7990</v>
      </c>
      <c r="C1213">
        <v>0.79</v>
      </c>
      <c r="D1213">
        <v>90</v>
      </c>
      <c r="E1213">
        <v>0.91576638720000003</v>
      </c>
      <c r="F1213">
        <v>35.454545454545453</v>
      </c>
      <c r="G1213">
        <f t="shared" si="72"/>
        <v>8.949177182021792</v>
      </c>
      <c r="H1213">
        <f t="shared" si="73"/>
        <v>10.599148</v>
      </c>
      <c r="I1213">
        <f t="shared" si="74"/>
        <v>10.232967440176559</v>
      </c>
    </row>
    <row r="1214" spans="1:9" x14ac:dyDescent="0.25">
      <c r="A1214" t="s">
        <v>317</v>
      </c>
      <c r="B1214" t="str">
        <f t="shared" si="75"/>
        <v>TwinMax180.79100</v>
      </c>
      <c r="C1214">
        <v>0.79</v>
      </c>
      <c r="D1214">
        <v>100</v>
      </c>
      <c r="E1214">
        <v>0.97027629120000014</v>
      </c>
      <c r="F1214">
        <v>36.666666666666671</v>
      </c>
      <c r="G1214">
        <f t="shared" si="72"/>
        <v>9.2690945914914877</v>
      </c>
      <c r="H1214">
        <f t="shared" si="73"/>
        <v>11.230049666666668</v>
      </c>
      <c r="I1214">
        <f t="shared" si="74"/>
        <v>10.467864812714931</v>
      </c>
    </row>
    <row r="1215" spans="1:9" x14ac:dyDescent="0.25">
      <c r="A1215" t="s">
        <v>317</v>
      </c>
      <c r="B1215" t="str">
        <f t="shared" si="75"/>
        <v>TwinMax180.79110</v>
      </c>
      <c r="C1215">
        <v>0.79</v>
      </c>
      <c r="D1215">
        <v>110</v>
      </c>
      <c r="E1215">
        <v>1.0138842144</v>
      </c>
      <c r="F1215">
        <v>37.575757575757578</v>
      </c>
      <c r="G1215">
        <f t="shared" si="72"/>
        <v>9.5096384653589041</v>
      </c>
      <c r="H1215">
        <f t="shared" si="73"/>
        <v>11.734770999999999</v>
      </c>
      <c r="I1215">
        <f t="shared" si="74"/>
        <v>10.661648369633733</v>
      </c>
    </row>
    <row r="1216" spans="1:9" x14ac:dyDescent="0.25">
      <c r="A1216" t="s">
        <v>317</v>
      </c>
      <c r="B1216" t="str">
        <f t="shared" si="75"/>
        <v>TwinMax180.8725</v>
      </c>
      <c r="C1216">
        <v>0.87</v>
      </c>
      <c r="D1216">
        <v>25</v>
      </c>
      <c r="E1216">
        <v>0.58325597279999997</v>
      </c>
      <c r="F1216">
        <v>23.636363636363637</v>
      </c>
      <c r="G1216">
        <f t="shared" si="72"/>
        <v>5.8783612356525481</v>
      </c>
      <c r="H1216">
        <f t="shared" si="73"/>
        <v>6.7506478333333328</v>
      </c>
      <c r="I1216">
        <f t="shared" si="74"/>
        <v>9.9220845643599436</v>
      </c>
    </row>
    <row r="1217" spans="1:9" x14ac:dyDescent="0.25">
      <c r="A1217" t="s">
        <v>317</v>
      </c>
      <c r="B1217" t="str">
        <f t="shared" si="75"/>
        <v>TwinMax180.8730</v>
      </c>
      <c r="C1217">
        <v>0.87</v>
      </c>
      <c r="D1217">
        <v>30</v>
      </c>
      <c r="E1217">
        <v>0.64321686719999993</v>
      </c>
      <c r="F1217">
        <v>25.757575757575758</v>
      </c>
      <c r="G1217">
        <f t="shared" si="72"/>
        <v>6.4230712830956307</v>
      </c>
      <c r="H1217">
        <f t="shared" si="73"/>
        <v>7.4446396666666654</v>
      </c>
      <c r="I1217">
        <f t="shared" si="74"/>
        <v>10.014163611928629</v>
      </c>
    </row>
    <row r="1218" spans="1:9" x14ac:dyDescent="0.25">
      <c r="A1218" t="s">
        <v>317</v>
      </c>
      <c r="B1218" t="str">
        <f t="shared" si="75"/>
        <v>TwinMax180.8735</v>
      </c>
      <c r="C1218">
        <v>0.87</v>
      </c>
      <c r="D1218">
        <v>35</v>
      </c>
      <c r="E1218">
        <v>0.69227578079999996</v>
      </c>
      <c r="F1218">
        <v>27.272727272727273</v>
      </c>
      <c r="G1218">
        <f t="shared" si="72"/>
        <v>6.8138807934554109</v>
      </c>
      <c r="H1218">
        <f t="shared" si="73"/>
        <v>8.0124511666666667</v>
      </c>
      <c r="I1218">
        <f t="shared" si="74"/>
        <v>10.15978708440154</v>
      </c>
    </row>
    <row r="1219" spans="1:9" x14ac:dyDescent="0.25">
      <c r="A1219" t="s">
        <v>317</v>
      </c>
      <c r="B1219" t="str">
        <f t="shared" si="75"/>
        <v>TwinMax180.8740</v>
      </c>
      <c r="C1219">
        <v>0.87</v>
      </c>
      <c r="D1219">
        <v>40</v>
      </c>
      <c r="E1219">
        <v>0.74133469439999999</v>
      </c>
      <c r="F1219">
        <v>28.484848484848488</v>
      </c>
      <c r="G1219">
        <f t="shared" ref="G1219:G1282" si="76">(PI()*(G$1+F1219)^2)/10000-((PI()*(G$1)^2)/10000)</f>
        <v>7.127566944769228</v>
      </c>
      <c r="H1219">
        <f t="shared" ref="H1219:H1282" si="77">E1219/0.0864</f>
        <v>8.5802626666666661</v>
      </c>
      <c r="I1219">
        <f t="shared" ref="I1219:I1282" si="78">E1219/G1219*100</f>
        <v>10.400950284220761</v>
      </c>
    </row>
    <row r="1220" spans="1:9" x14ac:dyDescent="0.25">
      <c r="A1220" t="s">
        <v>317</v>
      </c>
      <c r="B1220" t="str">
        <f t="shared" si="75"/>
        <v>TwinMax180.8745</v>
      </c>
      <c r="C1220">
        <v>0.87</v>
      </c>
      <c r="D1220">
        <v>45</v>
      </c>
      <c r="E1220">
        <v>0.78494261760000006</v>
      </c>
      <c r="F1220">
        <v>29.393939393939394</v>
      </c>
      <c r="G1220">
        <f t="shared" si="76"/>
        <v>7.3634373750197426</v>
      </c>
      <c r="H1220">
        <f t="shared" si="77"/>
        <v>9.0849840000000004</v>
      </c>
      <c r="I1220">
        <f t="shared" si="78"/>
        <v>10.660002626801663</v>
      </c>
    </row>
    <row r="1221" spans="1:9" x14ac:dyDescent="0.25">
      <c r="A1221" t="s">
        <v>317</v>
      </c>
      <c r="B1221" t="str">
        <f t="shared" si="75"/>
        <v>TwinMax180.8750</v>
      </c>
      <c r="C1221">
        <v>0.87</v>
      </c>
      <c r="D1221">
        <v>50</v>
      </c>
      <c r="E1221">
        <v>0.82855054080000012</v>
      </c>
      <c r="F1221">
        <v>30.303030303030305</v>
      </c>
      <c r="G1221">
        <f t="shared" si="76"/>
        <v>7.5998270767832352</v>
      </c>
      <c r="H1221">
        <f t="shared" si="77"/>
        <v>9.5897053333333346</v>
      </c>
      <c r="I1221">
        <f t="shared" si="78"/>
        <v>10.902228859011082</v>
      </c>
    </row>
    <row r="1222" spans="1:9" x14ac:dyDescent="0.25">
      <c r="A1222" t="s">
        <v>317</v>
      </c>
      <c r="B1222" t="str">
        <f t="shared" si="75"/>
        <v>TwinMax180.8755</v>
      </c>
      <c r="C1222">
        <v>0.87</v>
      </c>
      <c r="D1222">
        <v>55</v>
      </c>
      <c r="E1222">
        <v>0.86670747359999989</v>
      </c>
      <c r="F1222">
        <v>31.81818181818182</v>
      </c>
      <c r="G1222">
        <f t="shared" si="76"/>
        <v>7.9949638497512865</v>
      </c>
      <c r="H1222">
        <f t="shared" si="77"/>
        <v>10.031336499999998</v>
      </c>
      <c r="I1222">
        <f t="shared" si="78"/>
        <v>10.840667823994753</v>
      </c>
    </row>
    <row r="1223" spans="1:9" x14ac:dyDescent="0.25">
      <c r="A1223" t="s">
        <v>317</v>
      </c>
      <c r="B1223" t="str">
        <f t="shared" si="75"/>
        <v>TwinMax180.8760</v>
      </c>
      <c r="C1223">
        <v>0.87</v>
      </c>
      <c r="D1223">
        <v>60</v>
      </c>
      <c r="E1223">
        <v>0.9048644064000001</v>
      </c>
      <c r="F1223">
        <v>32.424242424242429</v>
      </c>
      <c r="G1223">
        <f t="shared" si="76"/>
        <v>8.1534224367819448</v>
      </c>
      <c r="H1223">
        <f t="shared" si="77"/>
        <v>10.472967666666667</v>
      </c>
      <c r="I1223">
        <f t="shared" si="78"/>
        <v>11.097970372759674</v>
      </c>
    </row>
    <row r="1224" spans="1:9" x14ac:dyDescent="0.25">
      <c r="A1224" t="s">
        <v>317</v>
      </c>
      <c r="B1224" t="str">
        <f t="shared" si="75"/>
        <v>TwinMax180.8765</v>
      </c>
      <c r="C1224">
        <v>0.87</v>
      </c>
      <c r="D1224">
        <v>65</v>
      </c>
      <c r="E1224">
        <v>0.94302133920000009</v>
      </c>
      <c r="F1224">
        <v>33.333333333333336</v>
      </c>
      <c r="G1224">
        <f t="shared" si="76"/>
        <v>8.3915430435887401</v>
      </c>
      <c r="H1224">
        <f t="shared" si="77"/>
        <v>10.914598833333335</v>
      </c>
      <c r="I1224">
        <f t="shared" si="78"/>
        <v>11.237758470660316</v>
      </c>
    </row>
    <row r="1225" spans="1:9" x14ac:dyDescent="0.25">
      <c r="A1225" t="s">
        <v>317</v>
      </c>
      <c r="B1225" t="str">
        <f t="shared" si="75"/>
        <v>TwinMax180.8770</v>
      </c>
      <c r="C1225">
        <v>0.87</v>
      </c>
      <c r="D1225">
        <v>70</v>
      </c>
      <c r="E1225">
        <v>0.98117827200000007</v>
      </c>
      <c r="F1225">
        <v>34.242424242424242</v>
      </c>
      <c r="G1225">
        <f t="shared" si="76"/>
        <v>8.6301829219085349</v>
      </c>
      <c r="H1225">
        <f t="shared" si="77"/>
        <v>11.35623</v>
      </c>
      <c r="I1225">
        <f t="shared" si="78"/>
        <v>11.369148034037451</v>
      </c>
    </row>
    <row r="1226" spans="1:9" x14ac:dyDescent="0.25">
      <c r="A1226" t="s">
        <v>317</v>
      </c>
      <c r="B1226" t="str">
        <f t="shared" si="75"/>
        <v>TwinMax180.8780</v>
      </c>
      <c r="C1226">
        <v>0.87</v>
      </c>
      <c r="D1226">
        <v>80</v>
      </c>
      <c r="E1226">
        <v>1.0465901568</v>
      </c>
      <c r="F1226">
        <v>35.454545454545453</v>
      </c>
      <c r="G1226">
        <f t="shared" si="76"/>
        <v>8.949177182021792</v>
      </c>
      <c r="H1226">
        <f t="shared" si="77"/>
        <v>12.113311999999999</v>
      </c>
      <c r="I1226">
        <f t="shared" si="78"/>
        <v>11.694819931630352</v>
      </c>
    </row>
    <row r="1227" spans="1:9" x14ac:dyDescent="0.25">
      <c r="A1227" t="s">
        <v>317</v>
      </c>
      <c r="B1227" t="str">
        <f t="shared" si="75"/>
        <v>TwinMax180.8790</v>
      </c>
      <c r="C1227">
        <v>0.87</v>
      </c>
      <c r="D1227">
        <v>90</v>
      </c>
      <c r="E1227">
        <v>1.1120020416</v>
      </c>
      <c r="F1227">
        <v>36.969696969696969</v>
      </c>
      <c r="G1227">
        <f t="shared" si="76"/>
        <v>9.3492181859458654</v>
      </c>
      <c r="H1227">
        <f t="shared" si="77"/>
        <v>12.870393999999999</v>
      </c>
      <c r="I1227">
        <f t="shared" si="78"/>
        <v>11.894064503399951</v>
      </c>
    </row>
    <row r="1228" spans="1:9" x14ac:dyDescent="0.25">
      <c r="A1228" t="s">
        <v>317</v>
      </c>
      <c r="B1228" t="str">
        <f t="shared" si="75"/>
        <v>TwinMax180.87100</v>
      </c>
      <c r="C1228">
        <v>0.87</v>
      </c>
      <c r="D1228">
        <v>100</v>
      </c>
      <c r="E1228">
        <v>1.1719629360000001</v>
      </c>
      <c r="F1228">
        <v>37.878787878787882</v>
      </c>
      <c r="G1228">
        <f t="shared" si="76"/>
        <v>9.5899351503176078</v>
      </c>
      <c r="H1228">
        <f t="shared" si="77"/>
        <v>13.564385833333334</v>
      </c>
      <c r="I1228">
        <f t="shared" si="78"/>
        <v>12.220759761458721</v>
      </c>
    </row>
    <row r="1229" spans="1:9" x14ac:dyDescent="0.25">
      <c r="A1229" t="s">
        <v>317</v>
      </c>
      <c r="B1229" t="str">
        <f t="shared" si="75"/>
        <v>TwinMax180.87110</v>
      </c>
      <c r="C1229">
        <v>0.87</v>
      </c>
      <c r="D1229">
        <v>110</v>
      </c>
      <c r="E1229">
        <v>1.22647284</v>
      </c>
      <c r="F1229">
        <v>38.787878787878789</v>
      </c>
      <c r="G1229">
        <f t="shared" si="76"/>
        <v>9.8311713862023495</v>
      </c>
      <c r="H1229">
        <f t="shared" si="77"/>
        <v>14.195287499999999</v>
      </c>
      <c r="I1229">
        <f t="shared" si="78"/>
        <v>12.47534797044943</v>
      </c>
    </row>
    <row r="1230" spans="1:9" x14ac:dyDescent="0.25">
      <c r="A1230" t="s">
        <v>317</v>
      </c>
      <c r="B1230" t="str">
        <f t="shared" si="75"/>
        <v>TwinMax180.9425</v>
      </c>
      <c r="C1230">
        <v>0.94</v>
      </c>
      <c r="D1230">
        <v>25</v>
      </c>
      <c r="E1230">
        <v>0.69772677120000004</v>
      </c>
      <c r="F1230">
        <v>24.848484848484851</v>
      </c>
      <c r="G1230">
        <f t="shared" si="76"/>
        <v>6.1892779388970922</v>
      </c>
      <c r="H1230">
        <f t="shared" si="77"/>
        <v>8.0755413333333337</v>
      </c>
      <c r="I1230">
        <f t="shared" si="78"/>
        <v>11.273152992775964</v>
      </c>
    </row>
    <row r="1231" spans="1:9" x14ac:dyDescent="0.25">
      <c r="A1231" t="s">
        <v>317</v>
      </c>
      <c r="B1231" t="str">
        <f t="shared" si="75"/>
        <v>TwinMax180.9430</v>
      </c>
      <c r="C1231">
        <v>0.94</v>
      </c>
      <c r="D1231">
        <v>30</v>
      </c>
      <c r="E1231">
        <v>0.76313865599999997</v>
      </c>
      <c r="F1231">
        <v>26.969696969696972</v>
      </c>
      <c r="G1231">
        <f t="shared" si="76"/>
        <v>6.7356034977139174</v>
      </c>
      <c r="H1231">
        <f t="shared" si="77"/>
        <v>8.8326233333333324</v>
      </c>
      <c r="I1231">
        <f t="shared" si="78"/>
        <v>11.329922497056296</v>
      </c>
    </row>
    <row r="1232" spans="1:9" x14ac:dyDescent="0.25">
      <c r="A1232" t="s">
        <v>317</v>
      </c>
      <c r="B1232" t="str">
        <f t="shared" si="75"/>
        <v>TwinMax180.9435</v>
      </c>
      <c r="C1232">
        <v>0.94</v>
      </c>
      <c r="D1232">
        <v>35</v>
      </c>
      <c r="E1232">
        <v>0.82309955039999994</v>
      </c>
      <c r="F1232">
        <v>28.484848484848488</v>
      </c>
      <c r="G1232">
        <f t="shared" si="76"/>
        <v>7.127566944769228</v>
      </c>
      <c r="H1232">
        <f t="shared" si="77"/>
        <v>9.5266151666666659</v>
      </c>
      <c r="I1232">
        <f t="shared" si="78"/>
        <v>11.548113918509815</v>
      </c>
    </row>
    <row r="1233" spans="1:9" x14ac:dyDescent="0.25">
      <c r="A1233" t="s">
        <v>317</v>
      </c>
      <c r="B1233" t="str">
        <f t="shared" si="75"/>
        <v>TwinMax180.9440</v>
      </c>
      <c r="C1233">
        <v>0.94</v>
      </c>
      <c r="D1233">
        <v>40</v>
      </c>
      <c r="E1233">
        <v>0.88306044480000012</v>
      </c>
      <c r="F1233">
        <v>29.696969696969699</v>
      </c>
      <c r="G1233">
        <f t="shared" si="76"/>
        <v>7.4421762454394695</v>
      </c>
      <c r="H1233">
        <f t="shared" si="77"/>
        <v>10.220607000000001</v>
      </c>
      <c r="I1233">
        <f t="shared" si="78"/>
        <v>11.8656212333205</v>
      </c>
    </row>
    <row r="1234" spans="1:9" x14ac:dyDescent="0.25">
      <c r="A1234" t="s">
        <v>317</v>
      </c>
      <c r="B1234" t="str">
        <f t="shared" si="75"/>
        <v>TwinMax180.9445</v>
      </c>
      <c r="C1234">
        <v>0.94</v>
      </c>
      <c r="D1234">
        <v>45</v>
      </c>
      <c r="E1234">
        <v>0.93211935840000004</v>
      </c>
      <c r="F1234">
        <v>30.90909090909091</v>
      </c>
      <c r="G1234">
        <f t="shared" si="76"/>
        <v>7.7577086954661354</v>
      </c>
      <c r="H1234">
        <f t="shared" si="77"/>
        <v>10.788418500000001</v>
      </c>
      <c r="I1234">
        <f t="shared" si="78"/>
        <v>12.015395202255554</v>
      </c>
    </row>
    <row r="1235" spans="1:9" x14ac:dyDescent="0.25">
      <c r="A1235" t="s">
        <v>317</v>
      </c>
      <c r="B1235" t="str">
        <f t="shared" si="75"/>
        <v>TwinMax180.9450</v>
      </c>
      <c r="C1235">
        <v>0.94</v>
      </c>
      <c r="D1235">
        <v>50</v>
      </c>
      <c r="E1235">
        <v>0.98662926240000015</v>
      </c>
      <c r="F1235">
        <v>32.121212121212125</v>
      </c>
      <c r="G1235">
        <f t="shared" si="76"/>
        <v>8.0741642948492256</v>
      </c>
      <c r="H1235">
        <f t="shared" si="77"/>
        <v>11.419320166666667</v>
      </c>
      <c r="I1235">
        <f t="shared" si="78"/>
        <v>12.219583679135726</v>
      </c>
    </row>
    <row r="1236" spans="1:9" x14ac:dyDescent="0.25">
      <c r="A1236" t="s">
        <v>317</v>
      </c>
      <c r="B1236" t="str">
        <f t="shared" si="75"/>
        <v>TwinMax180.9455</v>
      </c>
      <c r="C1236">
        <v>0.94</v>
      </c>
      <c r="D1236">
        <v>55</v>
      </c>
      <c r="E1236">
        <v>1.0356881760000001</v>
      </c>
      <c r="F1236">
        <v>33.333333333333336</v>
      </c>
      <c r="G1236">
        <f t="shared" si="76"/>
        <v>8.3915430435887401</v>
      </c>
      <c r="H1236">
        <f t="shared" si="77"/>
        <v>11.987131666666667</v>
      </c>
      <c r="I1236">
        <f t="shared" si="78"/>
        <v>12.342046875291675</v>
      </c>
    </row>
    <row r="1237" spans="1:9" x14ac:dyDescent="0.25">
      <c r="A1237" t="s">
        <v>317</v>
      </c>
      <c r="B1237" t="str">
        <f t="shared" si="75"/>
        <v>TwinMax180.9460</v>
      </c>
      <c r="C1237">
        <v>0.94</v>
      </c>
      <c r="D1237">
        <v>60</v>
      </c>
      <c r="E1237">
        <v>1.0792960992</v>
      </c>
      <c r="F1237">
        <v>34.242424242424242</v>
      </c>
      <c r="G1237">
        <f t="shared" si="76"/>
        <v>8.6301829219085349</v>
      </c>
      <c r="H1237">
        <f t="shared" si="77"/>
        <v>12.491852999999999</v>
      </c>
      <c r="I1237">
        <f t="shared" si="78"/>
        <v>12.506062837441196</v>
      </c>
    </row>
    <row r="1238" spans="1:9" x14ac:dyDescent="0.25">
      <c r="A1238" t="s">
        <v>317</v>
      </c>
      <c r="B1238" t="str">
        <f t="shared" si="75"/>
        <v>TwinMax180.9465</v>
      </c>
      <c r="C1238">
        <v>0.94</v>
      </c>
      <c r="D1238">
        <v>65</v>
      </c>
      <c r="E1238">
        <v>1.1229040224000002</v>
      </c>
      <c r="F1238">
        <v>35.151515151515156</v>
      </c>
      <c r="G1238">
        <f t="shared" si="76"/>
        <v>8.8693420717413147</v>
      </c>
      <c r="H1238">
        <f t="shared" si="77"/>
        <v>12.996574333333335</v>
      </c>
      <c r="I1238">
        <f t="shared" si="78"/>
        <v>12.660510929865859</v>
      </c>
    </row>
    <row r="1239" spans="1:9" x14ac:dyDescent="0.25">
      <c r="A1239" t="s">
        <v>317</v>
      </c>
      <c r="B1239" t="str">
        <f t="shared" si="75"/>
        <v>TwinMax180.9470</v>
      </c>
      <c r="C1239">
        <v>0.94</v>
      </c>
      <c r="D1239">
        <v>70</v>
      </c>
      <c r="E1239">
        <v>1.1665119455999999</v>
      </c>
      <c r="F1239">
        <v>35.757575757575758</v>
      </c>
      <c r="G1239">
        <f t="shared" si="76"/>
        <v>9.0290699891370565</v>
      </c>
      <c r="H1239">
        <f t="shared" si="77"/>
        <v>13.501295666666666</v>
      </c>
      <c r="I1239">
        <f t="shared" si="78"/>
        <v>12.919513825935999</v>
      </c>
    </row>
    <row r="1240" spans="1:9" x14ac:dyDescent="0.25">
      <c r="A1240" t="s">
        <v>317</v>
      </c>
      <c r="B1240" t="str">
        <f t="shared" si="75"/>
        <v>TwinMax180.9480</v>
      </c>
      <c r="C1240">
        <v>0.94</v>
      </c>
      <c r="D1240">
        <v>80</v>
      </c>
      <c r="E1240">
        <v>1.2482768016000001</v>
      </c>
      <c r="F1240">
        <v>38.181818181818187</v>
      </c>
      <c r="G1240">
        <f t="shared" si="76"/>
        <v>9.6702895321110702</v>
      </c>
      <c r="H1240">
        <f t="shared" si="77"/>
        <v>14.447648166666667</v>
      </c>
      <c r="I1240">
        <f t="shared" si="78"/>
        <v>12.908370503850833</v>
      </c>
    </row>
    <row r="1241" spans="1:9" x14ac:dyDescent="0.25">
      <c r="A1241" t="s">
        <v>317</v>
      </c>
      <c r="B1241" t="str">
        <f t="shared" si="75"/>
        <v>TwinMax180.9490</v>
      </c>
      <c r="C1241">
        <v>0.94</v>
      </c>
      <c r="D1241">
        <v>90</v>
      </c>
      <c r="E1241">
        <v>1.3191396768000003</v>
      </c>
      <c r="F1241">
        <v>39.393939393939398</v>
      </c>
      <c r="G1241">
        <f t="shared" si="76"/>
        <v>9.9922840276327278</v>
      </c>
      <c r="H1241">
        <f t="shared" si="77"/>
        <v>15.267820333333336</v>
      </c>
      <c r="I1241">
        <f t="shared" si="78"/>
        <v>13.20158307301957</v>
      </c>
    </row>
    <row r="1242" spans="1:9" x14ac:dyDescent="0.25">
      <c r="A1242" t="s">
        <v>317</v>
      </c>
      <c r="B1242" t="str">
        <f t="shared" si="75"/>
        <v>TwinMax180.94100</v>
      </c>
      <c r="C1242">
        <v>0.94</v>
      </c>
      <c r="D1242">
        <v>100</v>
      </c>
      <c r="E1242">
        <v>1.3954535424000001</v>
      </c>
      <c r="F1242">
        <v>40.606060606060609</v>
      </c>
      <c r="G1242">
        <f t="shared" si="76"/>
        <v>10.31520167251081</v>
      </c>
      <c r="H1242">
        <f t="shared" si="77"/>
        <v>16.151082666666667</v>
      </c>
      <c r="I1242">
        <f t="shared" si="78"/>
        <v>13.528126610638866</v>
      </c>
    </row>
    <row r="1243" spans="1:9" x14ac:dyDescent="0.25">
      <c r="A1243" t="s">
        <v>317</v>
      </c>
      <c r="B1243" t="str">
        <f t="shared" si="75"/>
        <v>TwinMax180.94110</v>
      </c>
      <c r="C1243">
        <v>0.94</v>
      </c>
      <c r="D1243">
        <v>110</v>
      </c>
      <c r="E1243">
        <v>1.4608654272000001</v>
      </c>
      <c r="F1243">
        <v>41.212121212121211</v>
      </c>
      <c r="G1243">
        <f t="shared" si="76"/>
        <v>10.477006675958492</v>
      </c>
      <c r="H1243">
        <f t="shared" si="77"/>
        <v>16.908164666666668</v>
      </c>
      <c r="I1243">
        <f t="shared" si="78"/>
        <v>13.943538191611893</v>
      </c>
    </row>
    <row r="1244" spans="1:9" x14ac:dyDescent="0.25">
      <c r="A1244" t="s">
        <v>312</v>
      </c>
      <c r="B1244" t="str">
        <f t="shared" si="75"/>
        <v>X100-51H180.440</v>
      </c>
      <c r="C1244">
        <v>0.4</v>
      </c>
      <c r="D1244">
        <v>40</v>
      </c>
      <c r="E1244">
        <v>0.14172599999999999</v>
      </c>
      <c r="F1244">
        <v>22.555200000000003</v>
      </c>
      <c r="G1244">
        <f t="shared" si="76"/>
        <v>5.6018149045940717</v>
      </c>
      <c r="H1244">
        <f t="shared" si="77"/>
        <v>1.640347222222222</v>
      </c>
      <c r="I1244">
        <f t="shared" si="78"/>
        <v>2.5300014801233419</v>
      </c>
    </row>
    <row r="1245" spans="1:9" x14ac:dyDescent="0.25">
      <c r="A1245" t="s">
        <v>312</v>
      </c>
      <c r="B1245" t="str">
        <f t="shared" si="75"/>
        <v>X100-51H180.445</v>
      </c>
      <c r="C1245">
        <v>0.4</v>
      </c>
      <c r="D1245">
        <v>45</v>
      </c>
      <c r="E1245">
        <v>0.15262800000000001</v>
      </c>
      <c r="F1245">
        <v>23.4696</v>
      </c>
      <c r="G1245">
        <f t="shared" si="76"/>
        <v>5.8356575558682593</v>
      </c>
      <c r="H1245">
        <f t="shared" si="77"/>
        <v>1.7665277777777779</v>
      </c>
      <c r="I1245">
        <f t="shared" si="78"/>
        <v>2.6154379097608178</v>
      </c>
    </row>
    <row r="1246" spans="1:9" x14ac:dyDescent="0.25">
      <c r="A1246" t="s">
        <v>312</v>
      </c>
      <c r="B1246" t="str">
        <f t="shared" si="75"/>
        <v>X100-51H180.450</v>
      </c>
      <c r="C1246">
        <v>0.4</v>
      </c>
      <c r="D1246">
        <v>50</v>
      </c>
      <c r="E1246">
        <v>0.158079</v>
      </c>
      <c r="F1246">
        <v>24.384</v>
      </c>
      <c r="G1246">
        <f t="shared" si="76"/>
        <v>6.0700255614567595</v>
      </c>
      <c r="H1246">
        <f t="shared" si="77"/>
        <v>1.8296180555555555</v>
      </c>
      <c r="I1246">
        <f t="shared" si="78"/>
        <v>2.604255919509872</v>
      </c>
    </row>
    <row r="1247" spans="1:9" x14ac:dyDescent="0.25">
      <c r="A1247" t="s">
        <v>312</v>
      </c>
      <c r="B1247" t="str">
        <f t="shared" si="75"/>
        <v>X100-51H180.455</v>
      </c>
      <c r="C1247">
        <v>0.4</v>
      </c>
      <c r="D1247">
        <v>55</v>
      </c>
      <c r="E1247">
        <v>0.16898099999999999</v>
      </c>
      <c r="F1247">
        <v>24.993600000000001</v>
      </c>
      <c r="G1247">
        <f t="shared" si="76"/>
        <v>6.2265627620237254</v>
      </c>
      <c r="H1247">
        <f t="shared" si="77"/>
        <v>1.955798611111111</v>
      </c>
      <c r="I1247">
        <f t="shared" si="78"/>
        <v>2.7138729096352776</v>
      </c>
    </row>
    <row r="1248" spans="1:9" x14ac:dyDescent="0.25">
      <c r="A1248" t="s">
        <v>312</v>
      </c>
      <c r="B1248" t="str">
        <f t="shared" si="75"/>
        <v>X100-51H180.460</v>
      </c>
      <c r="C1248">
        <v>0.4</v>
      </c>
      <c r="D1248">
        <v>60</v>
      </c>
      <c r="E1248">
        <v>0.174432</v>
      </c>
      <c r="F1248">
        <v>25.603200000000001</v>
      </c>
      <c r="G1248">
        <f t="shared" si="76"/>
        <v>6.3833334533970501</v>
      </c>
      <c r="H1248">
        <f t="shared" si="77"/>
        <v>2.0188888888888887</v>
      </c>
      <c r="I1248">
        <f t="shared" si="78"/>
        <v>2.7326161365919504</v>
      </c>
    </row>
    <row r="1249" spans="1:9" x14ac:dyDescent="0.25">
      <c r="A1249" t="s">
        <v>312</v>
      </c>
      <c r="B1249" t="str">
        <f t="shared" si="75"/>
        <v>X100-51H180.465</v>
      </c>
      <c r="C1249">
        <v>0.4</v>
      </c>
      <c r="D1249">
        <v>65</v>
      </c>
      <c r="E1249">
        <v>0.185334</v>
      </c>
      <c r="F1249">
        <v>26.212800000000001</v>
      </c>
      <c r="G1249">
        <f t="shared" si="76"/>
        <v>6.5403376355767691</v>
      </c>
      <c r="H1249">
        <f t="shared" si="77"/>
        <v>2.1450694444444443</v>
      </c>
      <c r="I1249">
        <f t="shared" si="78"/>
        <v>2.8337069173899927</v>
      </c>
    </row>
    <row r="1250" spans="1:9" x14ac:dyDescent="0.25">
      <c r="A1250" t="s">
        <v>312</v>
      </c>
      <c r="B1250" t="str">
        <f t="shared" si="75"/>
        <v>X100-51H180.470</v>
      </c>
      <c r="C1250">
        <v>0.4</v>
      </c>
      <c r="D1250">
        <v>70</v>
      </c>
      <c r="E1250">
        <v>0.19623599999999999</v>
      </c>
      <c r="F1250">
        <v>26.517600000000002</v>
      </c>
      <c r="G1250">
        <f t="shared" si="76"/>
        <v>6.6189272857189962</v>
      </c>
      <c r="H1250">
        <f t="shared" si="77"/>
        <v>2.2712499999999998</v>
      </c>
      <c r="I1250">
        <f t="shared" si="78"/>
        <v>2.9647704458606001</v>
      </c>
    </row>
    <row r="1251" spans="1:9" x14ac:dyDescent="0.25">
      <c r="A1251" t="s">
        <v>312</v>
      </c>
      <c r="B1251" t="str">
        <f t="shared" si="75"/>
        <v>X100-51H180.475</v>
      </c>
      <c r="C1251">
        <v>0.4</v>
      </c>
      <c r="D1251">
        <v>75</v>
      </c>
      <c r="E1251">
        <v>0.20168700000000001</v>
      </c>
      <c r="F1251">
        <v>27.127200000000002</v>
      </c>
      <c r="G1251">
        <f t="shared" si="76"/>
        <v>6.7762817041082499</v>
      </c>
      <c r="H1251">
        <f t="shared" si="77"/>
        <v>2.3343402777777778</v>
      </c>
      <c r="I1251">
        <f t="shared" si="78"/>
        <v>2.9763668160035821</v>
      </c>
    </row>
    <row r="1252" spans="1:9" x14ac:dyDescent="0.25">
      <c r="A1252" t="s">
        <v>312</v>
      </c>
      <c r="B1252" t="str">
        <f t="shared" si="75"/>
        <v>X100-51H180.480</v>
      </c>
      <c r="C1252">
        <v>0.4</v>
      </c>
      <c r="D1252">
        <v>80</v>
      </c>
      <c r="E1252">
        <v>0.212589</v>
      </c>
      <c r="F1252">
        <v>27.736800000000002</v>
      </c>
      <c r="G1252">
        <f t="shared" si="76"/>
        <v>6.9338696133038695</v>
      </c>
      <c r="H1252">
        <f t="shared" si="77"/>
        <v>2.4605208333333333</v>
      </c>
      <c r="I1252">
        <f t="shared" si="78"/>
        <v>3.0659503546491553</v>
      </c>
    </row>
    <row r="1253" spans="1:9" x14ac:dyDescent="0.25">
      <c r="A1253" t="s">
        <v>312</v>
      </c>
      <c r="B1253" t="str">
        <f t="shared" si="75"/>
        <v>X100-51H180.485</v>
      </c>
      <c r="C1253">
        <v>0.4</v>
      </c>
      <c r="D1253">
        <v>85</v>
      </c>
      <c r="E1253">
        <v>0.21804000000000001</v>
      </c>
      <c r="F1253">
        <v>28.346400000000003</v>
      </c>
      <c r="G1253">
        <f t="shared" si="76"/>
        <v>7.0916910133058622</v>
      </c>
      <c r="H1253">
        <f t="shared" si="77"/>
        <v>2.5236111111111112</v>
      </c>
      <c r="I1253">
        <f t="shared" si="78"/>
        <v>3.0745840391367882</v>
      </c>
    </row>
    <row r="1254" spans="1:9" x14ac:dyDescent="0.25">
      <c r="A1254" t="s">
        <v>312</v>
      </c>
      <c r="B1254" t="str">
        <f t="shared" ref="B1254:B1317" si="79">A1254&amp;C1254&amp;D1254</f>
        <v>X100-51H180.4540</v>
      </c>
      <c r="C1254">
        <v>0.45</v>
      </c>
      <c r="D1254">
        <v>40</v>
      </c>
      <c r="E1254">
        <v>0.19078500000000001</v>
      </c>
      <c r="F1254">
        <v>24.0792</v>
      </c>
      <c r="G1254">
        <f t="shared" si="76"/>
        <v>5.9918445202256621</v>
      </c>
      <c r="H1254">
        <f t="shared" si="77"/>
        <v>2.2081597222222222</v>
      </c>
      <c r="I1254">
        <f t="shared" si="78"/>
        <v>3.1840779472164065</v>
      </c>
    </row>
    <row r="1255" spans="1:9" x14ac:dyDescent="0.25">
      <c r="A1255" t="s">
        <v>312</v>
      </c>
      <c r="B1255" t="str">
        <f t="shared" si="79"/>
        <v>X100-51H180.4545</v>
      </c>
      <c r="C1255">
        <v>0.45</v>
      </c>
      <c r="D1255">
        <v>45</v>
      </c>
      <c r="E1255">
        <v>0.20168700000000001</v>
      </c>
      <c r="F1255">
        <v>25.298400000000001</v>
      </c>
      <c r="G1255">
        <f t="shared" si="76"/>
        <v>6.3049189213596009</v>
      </c>
      <c r="H1255">
        <f t="shared" si="77"/>
        <v>2.3343402777777778</v>
      </c>
      <c r="I1255">
        <f t="shared" si="78"/>
        <v>3.198883324521927</v>
      </c>
    </row>
    <row r="1256" spans="1:9" x14ac:dyDescent="0.25">
      <c r="A1256" t="s">
        <v>312</v>
      </c>
      <c r="B1256" t="str">
        <f t="shared" si="79"/>
        <v>X100-51H180.4550</v>
      </c>
      <c r="C1256">
        <v>0.45</v>
      </c>
      <c r="D1256">
        <v>50</v>
      </c>
      <c r="E1256">
        <v>0.212589</v>
      </c>
      <c r="F1256">
        <v>26.212800000000001</v>
      </c>
      <c r="G1256">
        <f t="shared" si="76"/>
        <v>6.5403376355767691</v>
      </c>
      <c r="H1256">
        <f t="shared" si="77"/>
        <v>2.4605208333333333</v>
      </c>
      <c r="I1256">
        <f t="shared" si="78"/>
        <v>3.2504285228885212</v>
      </c>
    </row>
    <row r="1257" spans="1:9" x14ac:dyDescent="0.25">
      <c r="A1257" t="s">
        <v>312</v>
      </c>
      <c r="B1257" t="str">
        <f t="shared" si="79"/>
        <v>X100-51H180.4555</v>
      </c>
      <c r="C1257">
        <v>0.45</v>
      </c>
      <c r="D1257">
        <v>55</v>
      </c>
      <c r="E1257">
        <v>0.21804000000000001</v>
      </c>
      <c r="F1257">
        <v>27.127200000000002</v>
      </c>
      <c r="G1257">
        <f t="shared" si="76"/>
        <v>6.7762817041082499</v>
      </c>
      <c r="H1257">
        <f t="shared" si="77"/>
        <v>2.5236111111111112</v>
      </c>
      <c r="I1257">
        <f t="shared" si="78"/>
        <v>3.2176938551390082</v>
      </c>
    </row>
    <row r="1258" spans="1:9" x14ac:dyDescent="0.25">
      <c r="A1258" t="s">
        <v>312</v>
      </c>
      <c r="B1258" t="str">
        <f t="shared" si="79"/>
        <v>X100-51H180.4560</v>
      </c>
      <c r="C1258">
        <v>0.45</v>
      </c>
      <c r="D1258">
        <v>60</v>
      </c>
      <c r="E1258">
        <v>0.223491</v>
      </c>
      <c r="F1258">
        <v>28.041600000000003</v>
      </c>
      <c r="G1258">
        <f t="shared" si="76"/>
        <v>7.0127511269540719</v>
      </c>
      <c r="H1258">
        <f t="shared" si="77"/>
        <v>2.5867013888888888</v>
      </c>
      <c r="I1258">
        <f t="shared" si="78"/>
        <v>3.1869233051918013</v>
      </c>
    </row>
    <row r="1259" spans="1:9" x14ac:dyDescent="0.25">
      <c r="A1259" t="s">
        <v>312</v>
      </c>
      <c r="B1259" t="str">
        <f t="shared" si="79"/>
        <v>X100-51H180.4565</v>
      </c>
      <c r="C1259">
        <v>0.45</v>
      </c>
      <c r="D1259">
        <v>65</v>
      </c>
      <c r="E1259">
        <v>0.23439300000000002</v>
      </c>
      <c r="F1259">
        <v>28.651200000000003</v>
      </c>
      <c r="G1259">
        <f t="shared" si="76"/>
        <v>7.1706892723592546</v>
      </c>
      <c r="H1259">
        <f t="shared" si="77"/>
        <v>2.7128819444444443</v>
      </c>
      <c r="I1259">
        <f t="shared" si="78"/>
        <v>3.268765262267201</v>
      </c>
    </row>
    <row r="1260" spans="1:9" x14ac:dyDescent="0.25">
      <c r="A1260" t="s">
        <v>312</v>
      </c>
      <c r="B1260" t="str">
        <f t="shared" si="79"/>
        <v>X100-51H180.4570</v>
      </c>
      <c r="C1260">
        <v>0.45</v>
      </c>
      <c r="D1260">
        <v>70</v>
      </c>
      <c r="E1260">
        <v>0.239844</v>
      </c>
      <c r="F1260">
        <v>29.260800000000003</v>
      </c>
      <c r="G1260">
        <f t="shared" si="76"/>
        <v>7.3288609085708032</v>
      </c>
      <c r="H1260">
        <f t="shared" si="77"/>
        <v>2.7759722222222223</v>
      </c>
      <c r="I1260">
        <f t="shared" si="78"/>
        <v>3.2725958780239948</v>
      </c>
    </row>
    <row r="1261" spans="1:9" x14ac:dyDescent="0.25">
      <c r="A1261" t="s">
        <v>312</v>
      </c>
      <c r="B1261" t="str">
        <f t="shared" si="79"/>
        <v>X100-51H180.4575</v>
      </c>
      <c r="C1261">
        <v>0.45</v>
      </c>
      <c r="D1261">
        <v>75</v>
      </c>
      <c r="E1261">
        <v>0.25074600000000002</v>
      </c>
      <c r="F1261">
        <v>30.48</v>
      </c>
      <c r="G1261">
        <f t="shared" si="76"/>
        <v>7.645904653412984</v>
      </c>
      <c r="H1261">
        <f t="shared" si="77"/>
        <v>2.9021527777777778</v>
      </c>
      <c r="I1261">
        <f t="shared" si="78"/>
        <v>3.2794811257301237</v>
      </c>
    </row>
    <row r="1262" spans="1:9" x14ac:dyDescent="0.25">
      <c r="A1262" t="s">
        <v>312</v>
      </c>
      <c r="B1262" t="str">
        <f t="shared" si="79"/>
        <v>X100-51H180.4580</v>
      </c>
      <c r="C1262">
        <v>0.45</v>
      </c>
      <c r="D1262">
        <v>80</v>
      </c>
      <c r="E1262">
        <v>0.26164799999999999</v>
      </c>
      <c r="F1262">
        <v>31.394400000000001</v>
      </c>
      <c r="G1262">
        <f t="shared" si="76"/>
        <v>7.8843003754113425</v>
      </c>
      <c r="H1262">
        <f t="shared" si="77"/>
        <v>3.0283333333333329</v>
      </c>
      <c r="I1262">
        <f t="shared" si="78"/>
        <v>3.3185950248166343</v>
      </c>
    </row>
    <row r="1263" spans="1:9" x14ac:dyDescent="0.25">
      <c r="A1263" t="s">
        <v>312</v>
      </c>
      <c r="B1263" t="str">
        <f t="shared" si="79"/>
        <v>X100-51H180.4585</v>
      </c>
      <c r="C1263">
        <v>0.45</v>
      </c>
      <c r="D1263">
        <v>85</v>
      </c>
      <c r="E1263">
        <v>0.27255000000000001</v>
      </c>
      <c r="F1263">
        <v>32.308800000000005</v>
      </c>
      <c r="G1263">
        <f t="shared" si="76"/>
        <v>8.123221451724028</v>
      </c>
      <c r="H1263">
        <f t="shared" si="77"/>
        <v>3.1545138888888888</v>
      </c>
      <c r="I1263">
        <f t="shared" si="78"/>
        <v>3.3551959849888804</v>
      </c>
    </row>
    <row r="1264" spans="1:9" x14ac:dyDescent="0.25">
      <c r="A1264" t="s">
        <v>312</v>
      </c>
      <c r="B1264" t="str">
        <f t="shared" si="79"/>
        <v>X100-51H180.540</v>
      </c>
      <c r="C1264">
        <v>0.5</v>
      </c>
      <c r="D1264">
        <v>40</v>
      </c>
      <c r="E1264">
        <v>0.22894200000000001</v>
      </c>
      <c r="F1264">
        <v>25.908000000000001</v>
      </c>
      <c r="G1264">
        <f t="shared" si="76"/>
        <v>6.4618063581361156</v>
      </c>
      <c r="H1264">
        <f t="shared" si="77"/>
        <v>2.6497916666666668</v>
      </c>
      <c r="I1264">
        <f t="shared" si="78"/>
        <v>3.5430031064260721</v>
      </c>
    </row>
    <row r="1265" spans="1:9" x14ac:dyDescent="0.25">
      <c r="A1265" t="s">
        <v>312</v>
      </c>
      <c r="B1265" t="str">
        <f t="shared" si="79"/>
        <v>X100-51H180.545</v>
      </c>
      <c r="C1265">
        <v>0.5</v>
      </c>
      <c r="D1265">
        <v>45</v>
      </c>
      <c r="E1265">
        <v>0.239844</v>
      </c>
      <c r="F1265">
        <v>26.822400000000002</v>
      </c>
      <c r="G1265">
        <f t="shared" si="76"/>
        <v>6.6975753085628327</v>
      </c>
      <c r="H1265">
        <f t="shared" si="77"/>
        <v>2.7759722222222223</v>
      </c>
      <c r="I1265">
        <f t="shared" si="78"/>
        <v>3.5810571580040329</v>
      </c>
    </row>
    <row r="1266" spans="1:9" x14ac:dyDescent="0.25">
      <c r="A1266" t="s">
        <v>312</v>
      </c>
      <c r="B1266" t="str">
        <f t="shared" si="79"/>
        <v>X100-51H180.550</v>
      </c>
      <c r="C1266">
        <v>0.5</v>
      </c>
      <c r="D1266">
        <v>50</v>
      </c>
      <c r="E1266">
        <v>0.25074600000000002</v>
      </c>
      <c r="F1266">
        <v>28.041600000000003</v>
      </c>
      <c r="G1266">
        <f t="shared" si="76"/>
        <v>7.0127511269540719</v>
      </c>
      <c r="H1266">
        <f t="shared" si="77"/>
        <v>2.9021527777777778</v>
      </c>
      <c r="I1266">
        <f t="shared" si="78"/>
        <v>3.5755724887517779</v>
      </c>
    </row>
    <row r="1267" spans="1:9" x14ac:dyDescent="0.25">
      <c r="A1267" t="s">
        <v>312</v>
      </c>
      <c r="B1267" t="str">
        <f t="shared" si="79"/>
        <v>X100-51H180.555</v>
      </c>
      <c r="C1267">
        <v>0.5</v>
      </c>
      <c r="D1267">
        <v>55</v>
      </c>
      <c r="E1267">
        <v>0.26709900000000003</v>
      </c>
      <c r="F1267">
        <v>28.956000000000003</v>
      </c>
      <c r="G1267">
        <f t="shared" si="76"/>
        <v>7.2497459041142207</v>
      </c>
      <c r="H1267">
        <f t="shared" si="77"/>
        <v>3.0914236111111113</v>
      </c>
      <c r="I1267">
        <f t="shared" si="78"/>
        <v>3.684253262564992</v>
      </c>
    </row>
    <row r="1268" spans="1:9" x14ac:dyDescent="0.25">
      <c r="A1268" t="s">
        <v>312</v>
      </c>
      <c r="B1268" t="str">
        <f t="shared" si="79"/>
        <v>X100-51H180.560</v>
      </c>
      <c r="C1268">
        <v>0.5</v>
      </c>
      <c r="D1268">
        <v>60</v>
      </c>
      <c r="E1268">
        <v>0.278001</v>
      </c>
      <c r="F1268">
        <v>29.5656</v>
      </c>
      <c r="G1268">
        <f t="shared" si="76"/>
        <v>7.4080342857289523</v>
      </c>
      <c r="H1268">
        <f t="shared" si="77"/>
        <v>3.2176041666666664</v>
      </c>
      <c r="I1268">
        <f t="shared" si="78"/>
        <v>3.752695914698303</v>
      </c>
    </row>
    <row r="1269" spans="1:9" x14ac:dyDescent="0.25">
      <c r="A1269" t="s">
        <v>312</v>
      </c>
      <c r="B1269" t="str">
        <f t="shared" si="79"/>
        <v>X100-51H180.565</v>
      </c>
      <c r="C1269">
        <v>0.5</v>
      </c>
      <c r="D1269">
        <v>65</v>
      </c>
      <c r="E1269">
        <v>0.294354</v>
      </c>
      <c r="F1269">
        <v>30.48</v>
      </c>
      <c r="G1269">
        <f t="shared" si="76"/>
        <v>7.645904653412984</v>
      </c>
      <c r="H1269">
        <f t="shared" si="77"/>
        <v>3.4068749999999999</v>
      </c>
      <c r="I1269">
        <f t="shared" si="78"/>
        <v>3.8498256693353619</v>
      </c>
    </row>
    <row r="1270" spans="1:9" x14ac:dyDescent="0.25">
      <c r="A1270" t="s">
        <v>312</v>
      </c>
      <c r="B1270" t="str">
        <f t="shared" si="79"/>
        <v>X100-51H180.570</v>
      </c>
      <c r="C1270">
        <v>0.5</v>
      </c>
      <c r="D1270">
        <v>70</v>
      </c>
      <c r="E1270">
        <v>0.29980499999999999</v>
      </c>
      <c r="F1270">
        <v>31.089600000000001</v>
      </c>
      <c r="G1270">
        <f t="shared" si="76"/>
        <v>7.8047767620436375</v>
      </c>
      <c r="H1270">
        <f t="shared" si="77"/>
        <v>3.4699652777777774</v>
      </c>
      <c r="I1270">
        <f t="shared" si="78"/>
        <v>3.8413014124634328</v>
      </c>
    </row>
    <row r="1271" spans="1:9" x14ac:dyDescent="0.25">
      <c r="A1271" t="s">
        <v>312</v>
      </c>
      <c r="B1271" t="str">
        <f t="shared" si="79"/>
        <v>X100-51H180.575</v>
      </c>
      <c r="C1271">
        <v>0.5</v>
      </c>
      <c r="D1271">
        <v>75</v>
      </c>
      <c r="E1271">
        <v>0.31070700000000001</v>
      </c>
      <c r="F1271">
        <v>32.004000000000005</v>
      </c>
      <c r="G1271">
        <f t="shared" si="76"/>
        <v>8.0435227202515449</v>
      </c>
      <c r="H1271">
        <f t="shared" si="77"/>
        <v>3.5961458333333334</v>
      </c>
      <c r="I1271">
        <f t="shared" si="78"/>
        <v>3.8628224324861891</v>
      </c>
    </row>
    <row r="1272" spans="1:9" x14ac:dyDescent="0.25">
      <c r="A1272" t="s">
        <v>312</v>
      </c>
      <c r="B1272" t="str">
        <f t="shared" si="79"/>
        <v>X100-51H180.5540</v>
      </c>
      <c r="C1272">
        <v>0.55000000000000004</v>
      </c>
      <c r="D1272">
        <v>40</v>
      </c>
      <c r="E1272">
        <v>0.28345199999999998</v>
      </c>
      <c r="F1272">
        <v>27.432000000000002</v>
      </c>
      <c r="G1272">
        <f t="shared" si="76"/>
        <v>6.8550464723552622</v>
      </c>
      <c r="H1272">
        <f t="shared" si="77"/>
        <v>3.2806944444444439</v>
      </c>
      <c r="I1272">
        <f t="shared" si="78"/>
        <v>4.1349391450968724</v>
      </c>
    </row>
    <row r="1273" spans="1:9" x14ac:dyDescent="0.25">
      <c r="A1273" t="s">
        <v>312</v>
      </c>
      <c r="B1273" t="str">
        <f t="shared" si="79"/>
        <v>X100-51H180.5545</v>
      </c>
      <c r="C1273">
        <v>0.55000000000000004</v>
      </c>
      <c r="D1273">
        <v>45</v>
      </c>
      <c r="E1273">
        <v>0.29980499999999999</v>
      </c>
      <c r="F1273">
        <v>28.346400000000003</v>
      </c>
      <c r="G1273">
        <f t="shared" si="76"/>
        <v>7.0916910133058622</v>
      </c>
      <c r="H1273">
        <f t="shared" si="77"/>
        <v>3.4699652777777774</v>
      </c>
      <c r="I1273">
        <f t="shared" si="78"/>
        <v>4.2275530538130841</v>
      </c>
    </row>
    <row r="1274" spans="1:9" x14ac:dyDescent="0.25">
      <c r="A1274" t="s">
        <v>312</v>
      </c>
      <c r="B1274" t="str">
        <f t="shared" si="79"/>
        <v>X100-51H180.5550</v>
      </c>
      <c r="C1274">
        <v>0.55000000000000004</v>
      </c>
      <c r="D1274">
        <v>50</v>
      </c>
      <c r="E1274">
        <v>0.31615799999999999</v>
      </c>
      <c r="F1274">
        <v>29.260800000000003</v>
      </c>
      <c r="G1274">
        <f t="shared" si="76"/>
        <v>7.3288609085708032</v>
      </c>
      <c r="H1274">
        <f t="shared" si="77"/>
        <v>3.6592361111111109</v>
      </c>
      <c r="I1274">
        <f t="shared" si="78"/>
        <v>4.3138763846679931</v>
      </c>
    </row>
    <row r="1275" spans="1:9" x14ac:dyDescent="0.25">
      <c r="A1275" t="s">
        <v>312</v>
      </c>
      <c r="B1275" t="str">
        <f t="shared" si="79"/>
        <v>X100-51H180.5555</v>
      </c>
      <c r="C1275">
        <v>0.55000000000000004</v>
      </c>
      <c r="D1275">
        <v>55</v>
      </c>
      <c r="E1275">
        <v>0.332511</v>
      </c>
      <c r="F1275">
        <v>30.1752</v>
      </c>
      <c r="G1275">
        <f t="shared" si="76"/>
        <v>7.5665561581500427</v>
      </c>
      <c r="H1275">
        <f t="shared" si="77"/>
        <v>3.8485069444444444</v>
      </c>
      <c r="I1275">
        <f t="shared" si="78"/>
        <v>4.3944826820831535</v>
      </c>
    </row>
    <row r="1276" spans="1:9" x14ac:dyDescent="0.25">
      <c r="A1276" t="s">
        <v>312</v>
      </c>
      <c r="B1276" t="str">
        <f t="shared" si="79"/>
        <v>X100-51H180.5560</v>
      </c>
      <c r="C1276">
        <v>0.55000000000000004</v>
      </c>
      <c r="D1276">
        <v>60</v>
      </c>
      <c r="E1276">
        <v>0.34341300000000002</v>
      </c>
      <c r="F1276">
        <v>31.089600000000001</v>
      </c>
      <c r="G1276">
        <f t="shared" si="76"/>
        <v>7.8047767620436375</v>
      </c>
      <c r="H1276">
        <f t="shared" si="77"/>
        <v>3.9746874999999999</v>
      </c>
      <c r="I1276">
        <f t="shared" si="78"/>
        <v>4.4000361633672043</v>
      </c>
    </row>
    <row r="1277" spans="1:9" x14ac:dyDescent="0.25">
      <c r="A1277" t="s">
        <v>312</v>
      </c>
      <c r="B1277" t="str">
        <f t="shared" si="79"/>
        <v>X100-51H180.640</v>
      </c>
      <c r="C1277">
        <v>0.6</v>
      </c>
      <c r="D1277">
        <v>40</v>
      </c>
      <c r="E1277">
        <v>0.332511</v>
      </c>
      <c r="F1277">
        <v>28.956000000000003</v>
      </c>
      <c r="G1277">
        <f t="shared" si="76"/>
        <v>7.2497459041142207</v>
      </c>
      <c r="H1277">
        <f t="shared" si="77"/>
        <v>3.8485069444444444</v>
      </c>
      <c r="I1277">
        <f t="shared" si="78"/>
        <v>4.5865193676829481</v>
      </c>
    </row>
    <row r="1278" spans="1:9" x14ac:dyDescent="0.25">
      <c r="A1278" t="s">
        <v>312</v>
      </c>
      <c r="B1278" t="str">
        <f t="shared" si="79"/>
        <v>X100-51H180.645</v>
      </c>
      <c r="C1278">
        <v>0.6</v>
      </c>
      <c r="D1278">
        <v>45</v>
      </c>
      <c r="E1278">
        <v>0.34886400000000001</v>
      </c>
      <c r="F1278">
        <v>29.8704</v>
      </c>
      <c r="G1278">
        <f t="shared" si="76"/>
        <v>7.4872660355887106</v>
      </c>
      <c r="H1278">
        <f t="shared" si="77"/>
        <v>4.0377777777777775</v>
      </c>
      <c r="I1278">
        <f t="shared" si="78"/>
        <v>4.6594310705906343</v>
      </c>
    </row>
    <row r="1279" spans="1:9" x14ac:dyDescent="0.25">
      <c r="A1279" t="s">
        <v>312</v>
      </c>
      <c r="B1279" t="str">
        <f t="shared" si="79"/>
        <v>X100-51H180.650</v>
      </c>
      <c r="C1279">
        <v>0.6</v>
      </c>
      <c r="D1279">
        <v>50</v>
      </c>
      <c r="E1279">
        <v>0.370668</v>
      </c>
      <c r="F1279">
        <v>30.784800000000001</v>
      </c>
      <c r="G1279">
        <f t="shared" si="76"/>
        <v>7.7253115213775132</v>
      </c>
      <c r="H1279">
        <f t="shared" si="77"/>
        <v>4.2901388888888885</v>
      </c>
      <c r="I1279">
        <f t="shared" si="78"/>
        <v>4.7980977721647342</v>
      </c>
    </row>
    <row r="1280" spans="1:9" x14ac:dyDescent="0.25">
      <c r="A1280" t="s">
        <v>312</v>
      </c>
      <c r="B1280" t="str">
        <f t="shared" si="79"/>
        <v>X100-51H180.6540</v>
      </c>
      <c r="C1280">
        <v>0.65</v>
      </c>
      <c r="D1280">
        <v>40</v>
      </c>
      <c r="E1280">
        <v>0.387021</v>
      </c>
      <c r="F1280">
        <v>30.1752</v>
      </c>
      <c r="G1280">
        <f t="shared" si="76"/>
        <v>7.5665561581500427</v>
      </c>
      <c r="H1280">
        <f t="shared" si="77"/>
        <v>4.479409722222222</v>
      </c>
      <c r="I1280">
        <f t="shared" si="78"/>
        <v>5.114889679145965</v>
      </c>
    </row>
    <row r="1281" spans="1:9" x14ac:dyDescent="0.25">
      <c r="A1281" t="s">
        <v>313</v>
      </c>
      <c r="B1281" t="str">
        <f t="shared" si="79"/>
        <v>X100-51H240.440</v>
      </c>
      <c r="C1281">
        <v>0.4</v>
      </c>
      <c r="D1281">
        <v>40</v>
      </c>
      <c r="E1281">
        <v>0.15262800000000001</v>
      </c>
      <c r="F1281">
        <v>24.0792</v>
      </c>
      <c r="G1281">
        <f t="shared" si="76"/>
        <v>5.9918445202256621</v>
      </c>
      <c r="H1281">
        <f t="shared" si="77"/>
        <v>1.7665277777777779</v>
      </c>
      <c r="I1281">
        <f t="shared" si="78"/>
        <v>2.5472623577731257</v>
      </c>
    </row>
    <row r="1282" spans="1:9" x14ac:dyDescent="0.25">
      <c r="A1282" t="s">
        <v>313</v>
      </c>
      <c r="B1282" t="str">
        <f t="shared" si="79"/>
        <v>X100-51H240.445</v>
      </c>
      <c r="C1282">
        <v>0.4</v>
      </c>
      <c r="D1282">
        <v>45</v>
      </c>
      <c r="E1282">
        <v>0.16353000000000001</v>
      </c>
      <c r="F1282">
        <v>24.993600000000001</v>
      </c>
      <c r="G1282">
        <f t="shared" si="76"/>
        <v>6.2265627620237254</v>
      </c>
      <c r="H1282">
        <f t="shared" si="77"/>
        <v>1.8927083333333334</v>
      </c>
      <c r="I1282">
        <f t="shared" si="78"/>
        <v>2.6263286222276885</v>
      </c>
    </row>
    <row r="1283" spans="1:9" x14ac:dyDescent="0.25">
      <c r="A1283" t="s">
        <v>313</v>
      </c>
      <c r="B1283" t="str">
        <f t="shared" si="79"/>
        <v>X100-51H240.450</v>
      </c>
      <c r="C1283">
        <v>0.4</v>
      </c>
      <c r="D1283">
        <v>50</v>
      </c>
      <c r="E1283">
        <v>0.16898099999999999</v>
      </c>
      <c r="F1283">
        <v>25.908000000000001</v>
      </c>
      <c r="G1283">
        <f t="shared" ref="G1283:G1346" si="80">(PI()*(G$1+F1283)^2)/10000-((PI()*(G$1)^2)/10000)</f>
        <v>6.4618063581361156</v>
      </c>
      <c r="H1283">
        <f t="shared" ref="H1283:H1346" si="81">E1283/0.0864</f>
        <v>1.955798611111111</v>
      </c>
      <c r="I1283">
        <f t="shared" ref="I1283:I1346" si="82">E1283/G1283*100</f>
        <v>2.6150737214097197</v>
      </c>
    </row>
    <row r="1284" spans="1:9" x14ac:dyDescent="0.25">
      <c r="A1284" t="s">
        <v>313</v>
      </c>
      <c r="B1284" t="str">
        <f t="shared" si="79"/>
        <v>X100-51H240.455</v>
      </c>
      <c r="C1284">
        <v>0.4</v>
      </c>
      <c r="D1284">
        <v>55</v>
      </c>
      <c r="E1284">
        <v>0.17988300000000002</v>
      </c>
      <c r="F1284">
        <v>26.822400000000002</v>
      </c>
      <c r="G1284">
        <f t="shared" si="80"/>
        <v>6.6975753085628327</v>
      </c>
      <c r="H1284">
        <f t="shared" si="81"/>
        <v>2.0819791666666667</v>
      </c>
      <c r="I1284">
        <f t="shared" si="82"/>
        <v>2.6857928685030248</v>
      </c>
    </row>
    <row r="1285" spans="1:9" x14ac:dyDescent="0.25">
      <c r="A1285" t="s">
        <v>313</v>
      </c>
      <c r="B1285" t="str">
        <f t="shared" si="79"/>
        <v>X100-51H240.460</v>
      </c>
      <c r="C1285">
        <v>0.4</v>
      </c>
      <c r="D1285">
        <v>60</v>
      </c>
      <c r="E1285">
        <v>0.185334</v>
      </c>
      <c r="F1285">
        <v>27.432000000000002</v>
      </c>
      <c r="G1285">
        <f t="shared" si="80"/>
        <v>6.8550464723552622</v>
      </c>
      <c r="H1285">
        <f t="shared" si="81"/>
        <v>2.1450694444444443</v>
      </c>
      <c r="I1285">
        <f t="shared" si="82"/>
        <v>2.7036140564094935</v>
      </c>
    </row>
    <row r="1286" spans="1:9" x14ac:dyDescent="0.25">
      <c r="A1286" t="s">
        <v>313</v>
      </c>
      <c r="B1286" t="str">
        <f t="shared" si="79"/>
        <v>X100-51H240.465</v>
      </c>
      <c r="C1286">
        <v>0.4</v>
      </c>
      <c r="D1286">
        <v>65</v>
      </c>
      <c r="E1286">
        <v>0.19623599999999999</v>
      </c>
      <c r="F1286">
        <v>27.736800000000002</v>
      </c>
      <c r="G1286">
        <f t="shared" si="80"/>
        <v>6.9338696133038695</v>
      </c>
      <c r="H1286">
        <f t="shared" si="81"/>
        <v>2.2712499999999998</v>
      </c>
      <c r="I1286">
        <f t="shared" si="82"/>
        <v>2.8301080196761434</v>
      </c>
    </row>
    <row r="1287" spans="1:9" x14ac:dyDescent="0.25">
      <c r="A1287" t="s">
        <v>313</v>
      </c>
      <c r="B1287" t="str">
        <f t="shared" si="79"/>
        <v>X100-51H240.470</v>
      </c>
      <c r="C1287">
        <v>0.4</v>
      </c>
      <c r="D1287">
        <v>70</v>
      </c>
      <c r="E1287">
        <v>0.20713800000000002</v>
      </c>
      <c r="F1287">
        <v>28.346400000000003</v>
      </c>
      <c r="G1287">
        <f t="shared" si="80"/>
        <v>7.0916910133058622</v>
      </c>
      <c r="H1287">
        <f t="shared" si="81"/>
        <v>2.3974305555555557</v>
      </c>
      <c r="I1287">
        <f t="shared" si="82"/>
        <v>2.9208548371799492</v>
      </c>
    </row>
    <row r="1288" spans="1:9" x14ac:dyDescent="0.25">
      <c r="A1288" t="s">
        <v>313</v>
      </c>
      <c r="B1288" t="str">
        <f t="shared" si="79"/>
        <v>X100-51H240.475</v>
      </c>
      <c r="C1288">
        <v>0.4</v>
      </c>
      <c r="D1288">
        <v>75</v>
      </c>
      <c r="E1288">
        <v>0.212589</v>
      </c>
      <c r="F1288">
        <v>28.956000000000003</v>
      </c>
      <c r="G1288">
        <f t="shared" si="80"/>
        <v>7.2497459041142207</v>
      </c>
      <c r="H1288">
        <f t="shared" si="81"/>
        <v>2.4605208333333333</v>
      </c>
      <c r="I1288">
        <f t="shared" si="82"/>
        <v>2.9323648416333605</v>
      </c>
    </row>
    <row r="1289" spans="1:9" x14ac:dyDescent="0.25">
      <c r="A1289" t="s">
        <v>313</v>
      </c>
      <c r="B1289" t="str">
        <f t="shared" si="79"/>
        <v>X100-51H240.480</v>
      </c>
      <c r="C1289">
        <v>0.4</v>
      </c>
      <c r="D1289">
        <v>80</v>
      </c>
      <c r="E1289">
        <v>0.223491</v>
      </c>
      <c r="F1289">
        <v>29.5656</v>
      </c>
      <c r="G1289">
        <f t="shared" si="80"/>
        <v>7.4080342857289523</v>
      </c>
      <c r="H1289">
        <f t="shared" si="81"/>
        <v>2.5867013888888888</v>
      </c>
      <c r="I1289">
        <f t="shared" si="82"/>
        <v>3.0168731863260865</v>
      </c>
    </row>
    <row r="1290" spans="1:9" x14ac:dyDescent="0.25">
      <c r="A1290" t="s">
        <v>313</v>
      </c>
      <c r="B1290" t="str">
        <f t="shared" si="79"/>
        <v>X100-51H240.485</v>
      </c>
      <c r="C1290">
        <v>0.4</v>
      </c>
      <c r="D1290">
        <v>85</v>
      </c>
      <c r="E1290">
        <v>0.23439300000000002</v>
      </c>
      <c r="F1290">
        <v>30.1752</v>
      </c>
      <c r="G1290">
        <f t="shared" si="80"/>
        <v>7.5665561581500427</v>
      </c>
      <c r="H1290">
        <f t="shared" si="81"/>
        <v>2.7128819444444443</v>
      </c>
      <c r="I1290">
        <f t="shared" si="82"/>
        <v>3.0977500873700921</v>
      </c>
    </row>
    <row r="1291" spans="1:9" x14ac:dyDescent="0.25">
      <c r="A1291" t="s">
        <v>313</v>
      </c>
      <c r="B1291" t="str">
        <f t="shared" si="79"/>
        <v>X100-51H240.4540</v>
      </c>
      <c r="C1291">
        <v>0.45</v>
      </c>
      <c r="D1291">
        <v>40</v>
      </c>
      <c r="E1291">
        <v>0.20168700000000001</v>
      </c>
      <c r="F1291">
        <v>25.908000000000001</v>
      </c>
      <c r="G1291">
        <f t="shared" si="80"/>
        <v>6.4618063581361156</v>
      </c>
      <c r="H1291">
        <f t="shared" si="81"/>
        <v>2.3343402777777778</v>
      </c>
      <c r="I1291">
        <f t="shared" si="82"/>
        <v>3.12121702232773</v>
      </c>
    </row>
    <row r="1292" spans="1:9" x14ac:dyDescent="0.25">
      <c r="A1292" t="s">
        <v>313</v>
      </c>
      <c r="B1292" t="str">
        <f t="shared" si="79"/>
        <v>X100-51H240.4545</v>
      </c>
      <c r="C1292">
        <v>0.45</v>
      </c>
      <c r="D1292">
        <v>45</v>
      </c>
      <c r="E1292">
        <v>0.212589</v>
      </c>
      <c r="F1292">
        <v>27.127200000000002</v>
      </c>
      <c r="G1292">
        <f t="shared" si="80"/>
        <v>6.7762817041082499</v>
      </c>
      <c r="H1292">
        <f t="shared" si="81"/>
        <v>2.4605208333333333</v>
      </c>
      <c r="I1292">
        <f t="shared" si="82"/>
        <v>3.1372515087605328</v>
      </c>
    </row>
    <row r="1293" spans="1:9" x14ac:dyDescent="0.25">
      <c r="A1293" t="s">
        <v>313</v>
      </c>
      <c r="B1293" t="str">
        <f t="shared" si="79"/>
        <v>X100-51H240.4550</v>
      </c>
      <c r="C1293">
        <v>0.45</v>
      </c>
      <c r="D1293">
        <v>50</v>
      </c>
      <c r="E1293">
        <v>0.223491</v>
      </c>
      <c r="F1293">
        <v>28.041600000000003</v>
      </c>
      <c r="G1293">
        <f t="shared" si="80"/>
        <v>7.0127511269540719</v>
      </c>
      <c r="H1293">
        <f t="shared" si="81"/>
        <v>2.5867013888888888</v>
      </c>
      <c r="I1293">
        <f t="shared" si="82"/>
        <v>3.1869233051918013</v>
      </c>
    </row>
    <row r="1294" spans="1:9" x14ac:dyDescent="0.25">
      <c r="A1294" t="s">
        <v>313</v>
      </c>
      <c r="B1294" t="str">
        <f t="shared" si="79"/>
        <v>X100-51H240.4555</v>
      </c>
      <c r="C1294">
        <v>0.45</v>
      </c>
      <c r="D1294">
        <v>55</v>
      </c>
      <c r="E1294">
        <v>0.23439300000000002</v>
      </c>
      <c r="F1294">
        <v>28.956000000000003</v>
      </c>
      <c r="G1294">
        <f t="shared" si="80"/>
        <v>7.2497459041142207</v>
      </c>
      <c r="H1294">
        <f t="shared" si="81"/>
        <v>2.7128819444444443</v>
      </c>
      <c r="I1294">
        <f t="shared" si="82"/>
        <v>3.233120210006013</v>
      </c>
    </row>
    <row r="1295" spans="1:9" x14ac:dyDescent="0.25">
      <c r="A1295" t="s">
        <v>313</v>
      </c>
      <c r="B1295" t="str">
        <f t="shared" si="79"/>
        <v>X100-51H240.4560</v>
      </c>
      <c r="C1295">
        <v>0.45</v>
      </c>
      <c r="D1295">
        <v>60</v>
      </c>
      <c r="E1295">
        <v>0.239844</v>
      </c>
      <c r="F1295">
        <v>29.8704</v>
      </c>
      <c r="G1295">
        <f t="shared" si="80"/>
        <v>7.4872660355887106</v>
      </c>
      <c r="H1295">
        <f t="shared" si="81"/>
        <v>2.7759722222222223</v>
      </c>
      <c r="I1295">
        <f t="shared" si="82"/>
        <v>3.2033588610310608</v>
      </c>
    </row>
    <row r="1296" spans="1:9" x14ac:dyDescent="0.25">
      <c r="A1296" t="s">
        <v>313</v>
      </c>
      <c r="B1296" t="str">
        <f t="shared" si="79"/>
        <v>X100-51H240.4565</v>
      </c>
      <c r="C1296">
        <v>0.45</v>
      </c>
      <c r="D1296">
        <v>65</v>
      </c>
      <c r="E1296">
        <v>0.25074600000000002</v>
      </c>
      <c r="F1296">
        <v>30.48</v>
      </c>
      <c r="G1296">
        <f t="shared" si="80"/>
        <v>7.645904653412984</v>
      </c>
      <c r="H1296">
        <f t="shared" si="81"/>
        <v>2.9021527777777778</v>
      </c>
      <c r="I1296">
        <f t="shared" si="82"/>
        <v>3.2794811257301237</v>
      </c>
    </row>
    <row r="1297" spans="1:9" x14ac:dyDescent="0.25">
      <c r="A1297" t="s">
        <v>313</v>
      </c>
      <c r="B1297" t="str">
        <f t="shared" si="79"/>
        <v>X100-51H240.4570</v>
      </c>
      <c r="C1297">
        <v>0.45</v>
      </c>
      <c r="D1297">
        <v>70</v>
      </c>
      <c r="E1297">
        <v>0.25619700000000001</v>
      </c>
      <c r="F1297">
        <v>31.394400000000001</v>
      </c>
      <c r="G1297">
        <f t="shared" si="80"/>
        <v>7.8843003754113425</v>
      </c>
      <c r="H1297">
        <f t="shared" si="81"/>
        <v>2.9652430555555553</v>
      </c>
      <c r="I1297">
        <f t="shared" si="82"/>
        <v>3.2494576284662875</v>
      </c>
    </row>
    <row r="1298" spans="1:9" x14ac:dyDescent="0.25">
      <c r="A1298" t="s">
        <v>313</v>
      </c>
      <c r="B1298" t="str">
        <f t="shared" si="79"/>
        <v>X100-51H240.4575</v>
      </c>
      <c r="C1298">
        <v>0.45</v>
      </c>
      <c r="D1298">
        <v>75</v>
      </c>
      <c r="E1298">
        <v>0.26709900000000003</v>
      </c>
      <c r="F1298">
        <v>32.613599999999998</v>
      </c>
      <c r="G1298">
        <f t="shared" si="80"/>
        <v>8.2029785558981061</v>
      </c>
      <c r="H1298">
        <f t="shared" si="81"/>
        <v>3.0914236111111113</v>
      </c>
      <c r="I1298">
        <f t="shared" si="82"/>
        <v>3.2561221290521414</v>
      </c>
    </row>
    <row r="1299" spans="1:9" x14ac:dyDescent="0.25">
      <c r="A1299" t="s">
        <v>313</v>
      </c>
      <c r="B1299" t="str">
        <f t="shared" si="79"/>
        <v>X100-51H240.4580</v>
      </c>
      <c r="C1299">
        <v>0.45</v>
      </c>
      <c r="D1299">
        <v>80</v>
      </c>
      <c r="E1299">
        <v>0.278001</v>
      </c>
      <c r="F1299">
        <v>33.527999999999999</v>
      </c>
      <c r="G1299">
        <f t="shared" si="80"/>
        <v>8.4426001046298964</v>
      </c>
      <c r="H1299">
        <f t="shared" si="81"/>
        <v>3.2176041666666664</v>
      </c>
      <c r="I1299">
        <f t="shared" si="82"/>
        <v>3.2928362892320941</v>
      </c>
    </row>
    <row r="1300" spans="1:9" x14ac:dyDescent="0.25">
      <c r="A1300" t="s">
        <v>313</v>
      </c>
      <c r="B1300" t="str">
        <f t="shared" si="79"/>
        <v>X100-51H240.4585</v>
      </c>
      <c r="C1300">
        <v>0.45</v>
      </c>
      <c r="D1300">
        <v>85</v>
      </c>
      <c r="E1300">
        <v>0.28890300000000002</v>
      </c>
      <c r="F1300">
        <v>34.442399999999999</v>
      </c>
      <c r="G1300">
        <f t="shared" si="80"/>
        <v>8.6827470076760207</v>
      </c>
      <c r="H1300">
        <f t="shared" si="81"/>
        <v>3.3437847222222223</v>
      </c>
      <c r="I1300">
        <f t="shared" si="82"/>
        <v>3.3273225598372731</v>
      </c>
    </row>
    <row r="1301" spans="1:9" x14ac:dyDescent="0.25">
      <c r="A1301" t="s">
        <v>313</v>
      </c>
      <c r="B1301" t="str">
        <f t="shared" si="79"/>
        <v>X100-51H240.540</v>
      </c>
      <c r="C1301">
        <v>0.5</v>
      </c>
      <c r="D1301">
        <v>40</v>
      </c>
      <c r="E1301">
        <v>0.24529500000000001</v>
      </c>
      <c r="F1301">
        <v>27.736800000000002</v>
      </c>
      <c r="G1301">
        <f t="shared" si="80"/>
        <v>6.9338696133038695</v>
      </c>
      <c r="H1301">
        <f t="shared" si="81"/>
        <v>2.8390624999999998</v>
      </c>
      <c r="I1301">
        <f t="shared" si="82"/>
        <v>3.5376350245951795</v>
      </c>
    </row>
    <row r="1302" spans="1:9" x14ac:dyDescent="0.25">
      <c r="A1302" t="s">
        <v>313</v>
      </c>
      <c r="B1302" t="str">
        <f t="shared" si="79"/>
        <v>X100-51H240.545</v>
      </c>
      <c r="C1302">
        <v>0.5</v>
      </c>
      <c r="D1302">
        <v>45</v>
      </c>
      <c r="E1302">
        <v>0.25619700000000001</v>
      </c>
      <c r="F1302">
        <v>28.651200000000003</v>
      </c>
      <c r="G1302">
        <f t="shared" si="80"/>
        <v>7.1706892723592546</v>
      </c>
      <c r="H1302">
        <f t="shared" si="81"/>
        <v>2.9652430555555553</v>
      </c>
      <c r="I1302">
        <f t="shared" si="82"/>
        <v>3.5728364494548472</v>
      </c>
    </row>
    <row r="1303" spans="1:9" x14ac:dyDescent="0.25">
      <c r="A1303" t="s">
        <v>313</v>
      </c>
      <c r="B1303" t="str">
        <f t="shared" si="79"/>
        <v>X100-51H240.550</v>
      </c>
      <c r="C1303">
        <v>0.5</v>
      </c>
      <c r="D1303">
        <v>50</v>
      </c>
      <c r="E1303">
        <v>0.26709900000000003</v>
      </c>
      <c r="F1303">
        <v>29.8704</v>
      </c>
      <c r="G1303">
        <f t="shared" si="80"/>
        <v>7.4872660355887106</v>
      </c>
      <c r="H1303">
        <f t="shared" si="81"/>
        <v>3.0914236111111113</v>
      </c>
      <c r="I1303">
        <f t="shared" si="82"/>
        <v>3.5673769134209548</v>
      </c>
    </row>
    <row r="1304" spans="1:9" x14ac:dyDescent="0.25">
      <c r="A1304" t="s">
        <v>313</v>
      </c>
      <c r="B1304" t="str">
        <f t="shared" si="79"/>
        <v>X100-51H240.555</v>
      </c>
      <c r="C1304">
        <v>0.5</v>
      </c>
      <c r="D1304">
        <v>55</v>
      </c>
      <c r="E1304">
        <v>0.28345199999999998</v>
      </c>
      <c r="F1304">
        <v>30.784800000000001</v>
      </c>
      <c r="G1304">
        <f t="shared" si="80"/>
        <v>7.7253115213775132</v>
      </c>
      <c r="H1304">
        <f t="shared" si="81"/>
        <v>3.2806944444444439</v>
      </c>
      <c r="I1304">
        <f t="shared" si="82"/>
        <v>3.6691335904789146</v>
      </c>
    </row>
    <row r="1305" spans="1:9" x14ac:dyDescent="0.25">
      <c r="A1305" t="s">
        <v>313</v>
      </c>
      <c r="B1305" t="str">
        <f t="shared" si="79"/>
        <v>X100-51H240.560</v>
      </c>
      <c r="C1305">
        <v>0.5</v>
      </c>
      <c r="D1305">
        <v>60</v>
      </c>
      <c r="E1305">
        <v>0.294354</v>
      </c>
      <c r="F1305">
        <v>31.699200000000001</v>
      </c>
      <c r="G1305">
        <f t="shared" si="80"/>
        <v>7.9638823614806498</v>
      </c>
      <c r="H1305">
        <f t="shared" si="81"/>
        <v>3.4068749999999999</v>
      </c>
      <c r="I1305">
        <f t="shared" si="82"/>
        <v>3.6961118539836586</v>
      </c>
    </row>
    <row r="1306" spans="1:9" x14ac:dyDescent="0.25">
      <c r="A1306" t="s">
        <v>313</v>
      </c>
      <c r="B1306" t="str">
        <f t="shared" si="79"/>
        <v>X100-51H240.565</v>
      </c>
      <c r="C1306">
        <v>0.5</v>
      </c>
      <c r="D1306">
        <v>65</v>
      </c>
      <c r="E1306">
        <v>0.31070700000000001</v>
      </c>
      <c r="F1306">
        <v>32.613599999999998</v>
      </c>
      <c r="G1306">
        <f t="shared" si="80"/>
        <v>8.2029785558981061</v>
      </c>
      <c r="H1306">
        <f t="shared" si="81"/>
        <v>3.5961458333333334</v>
      </c>
      <c r="I1306">
        <f t="shared" si="82"/>
        <v>3.7877339052239196</v>
      </c>
    </row>
    <row r="1307" spans="1:9" x14ac:dyDescent="0.25">
      <c r="A1307" t="s">
        <v>313</v>
      </c>
      <c r="B1307" t="str">
        <f t="shared" si="79"/>
        <v>X100-51H240.570</v>
      </c>
      <c r="C1307">
        <v>0.5</v>
      </c>
      <c r="D1307">
        <v>70</v>
      </c>
      <c r="E1307">
        <v>0.32160900000000003</v>
      </c>
      <c r="F1307">
        <v>33.223199999999999</v>
      </c>
      <c r="G1307">
        <f t="shared" si="80"/>
        <v>8.3626678823510403</v>
      </c>
      <c r="H1307">
        <f t="shared" si="81"/>
        <v>3.7223263888888889</v>
      </c>
      <c r="I1307">
        <f t="shared" si="82"/>
        <v>3.8457703274183408</v>
      </c>
    </row>
    <row r="1308" spans="1:9" x14ac:dyDescent="0.25">
      <c r="A1308" t="s">
        <v>313</v>
      </c>
      <c r="B1308" t="str">
        <f t="shared" si="79"/>
        <v>X100-51H240.575</v>
      </c>
      <c r="C1308">
        <v>0.5</v>
      </c>
      <c r="D1308">
        <v>75</v>
      </c>
      <c r="E1308">
        <v>0.332511</v>
      </c>
      <c r="F1308">
        <v>34.137599999999999</v>
      </c>
      <c r="G1308">
        <f t="shared" si="80"/>
        <v>8.6026396672923866</v>
      </c>
      <c r="H1308">
        <f t="shared" si="81"/>
        <v>3.8485069444444444</v>
      </c>
      <c r="I1308">
        <f t="shared" si="82"/>
        <v>3.8652205934443753</v>
      </c>
    </row>
    <row r="1309" spans="1:9" x14ac:dyDescent="0.25">
      <c r="A1309" t="s">
        <v>313</v>
      </c>
      <c r="B1309" t="str">
        <f t="shared" si="79"/>
        <v>X100-51H240.5540</v>
      </c>
      <c r="C1309">
        <v>0.55000000000000004</v>
      </c>
      <c r="D1309">
        <v>40</v>
      </c>
      <c r="E1309">
        <v>0.29980499999999999</v>
      </c>
      <c r="F1309">
        <v>29.260800000000003</v>
      </c>
      <c r="G1309">
        <f t="shared" si="80"/>
        <v>7.3288609085708032</v>
      </c>
      <c r="H1309">
        <f t="shared" si="81"/>
        <v>3.4699652777777774</v>
      </c>
      <c r="I1309">
        <f t="shared" si="82"/>
        <v>4.0907448475299928</v>
      </c>
    </row>
    <row r="1310" spans="1:9" x14ac:dyDescent="0.25">
      <c r="A1310" t="s">
        <v>313</v>
      </c>
      <c r="B1310" t="str">
        <f t="shared" si="79"/>
        <v>X100-51H240.5545</v>
      </c>
      <c r="C1310">
        <v>0.55000000000000004</v>
      </c>
      <c r="D1310">
        <v>45</v>
      </c>
      <c r="E1310">
        <v>0.31615799999999999</v>
      </c>
      <c r="F1310">
        <v>30.1752</v>
      </c>
      <c r="G1310">
        <f t="shared" si="80"/>
        <v>7.5665561581500427</v>
      </c>
      <c r="H1310">
        <f t="shared" si="81"/>
        <v>3.6592361111111109</v>
      </c>
      <c r="I1310">
        <f t="shared" si="82"/>
        <v>4.1783605829643102</v>
      </c>
    </row>
    <row r="1311" spans="1:9" x14ac:dyDescent="0.25">
      <c r="A1311" t="s">
        <v>313</v>
      </c>
      <c r="B1311" t="str">
        <f t="shared" si="79"/>
        <v>X100-51H240.5550</v>
      </c>
      <c r="C1311">
        <v>0.55000000000000004</v>
      </c>
      <c r="D1311">
        <v>50</v>
      </c>
      <c r="E1311">
        <v>0.33796199999999998</v>
      </c>
      <c r="F1311">
        <v>31.394400000000001</v>
      </c>
      <c r="G1311">
        <f t="shared" si="80"/>
        <v>7.8843003754113425</v>
      </c>
      <c r="H1311">
        <f t="shared" si="81"/>
        <v>3.9115972222222219</v>
      </c>
      <c r="I1311">
        <f t="shared" si="82"/>
        <v>4.2865185737214855</v>
      </c>
    </row>
    <row r="1312" spans="1:9" x14ac:dyDescent="0.25">
      <c r="A1312" t="s">
        <v>313</v>
      </c>
      <c r="B1312" t="str">
        <f t="shared" si="79"/>
        <v>X100-51H240.5555</v>
      </c>
      <c r="C1312">
        <v>0.55000000000000004</v>
      </c>
      <c r="D1312">
        <v>55</v>
      </c>
      <c r="E1312">
        <v>0.35431499999999999</v>
      </c>
      <c r="F1312">
        <v>32.308800000000005</v>
      </c>
      <c r="G1312">
        <f t="shared" si="80"/>
        <v>8.123221451724028</v>
      </c>
      <c r="H1312">
        <f t="shared" si="81"/>
        <v>4.100868055555555</v>
      </c>
      <c r="I1312">
        <f t="shared" si="82"/>
        <v>4.3617547804855441</v>
      </c>
    </row>
    <row r="1313" spans="1:9" x14ac:dyDescent="0.25">
      <c r="A1313" t="s">
        <v>313</v>
      </c>
      <c r="B1313" t="str">
        <f t="shared" si="79"/>
        <v>X100-51H240.5560</v>
      </c>
      <c r="C1313">
        <v>0.55000000000000004</v>
      </c>
      <c r="D1313">
        <v>60</v>
      </c>
      <c r="E1313">
        <v>0.36521700000000001</v>
      </c>
      <c r="F1313">
        <v>33.223199999999999</v>
      </c>
      <c r="G1313">
        <f t="shared" si="80"/>
        <v>8.3626678823510403</v>
      </c>
      <c r="H1313">
        <f t="shared" si="81"/>
        <v>4.227048611111111</v>
      </c>
      <c r="I1313">
        <f t="shared" si="82"/>
        <v>4.3672307107970987</v>
      </c>
    </row>
    <row r="1314" spans="1:9" x14ac:dyDescent="0.25">
      <c r="A1314" t="s">
        <v>313</v>
      </c>
      <c r="B1314" t="str">
        <f t="shared" si="79"/>
        <v>X100-51H240.640</v>
      </c>
      <c r="C1314">
        <v>0.6</v>
      </c>
      <c r="D1314">
        <v>40</v>
      </c>
      <c r="E1314">
        <v>0.35431499999999999</v>
      </c>
      <c r="F1314">
        <v>30.784800000000001</v>
      </c>
      <c r="G1314">
        <f t="shared" si="80"/>
        <v>7.7253115213775132</v>
      </c>
      <c r="H1314">
        <f t="shared" si="81"/>
        <v>4.100868055555555</v>
      </c>
      <c r="I1314">
        <f t="shared" si="82"/>
        <v>4.5864169880986427</v>
      </c>
    </row>
    <row r="1315" spans="1:9" x14ac:dyDescent="0.25">
      <c r="A1315" t="s">
        <v>313</v>
      </c>
      <c r="B1315" t="str">
        <f t="shared" si="79"/>
        <v>X100-51H240.645</v>
      </c>
      <c r="C1315">
        <v>0.6</v>
      </c>
      <c r="D1315">
        <v>45</v>
      </c>
      <c r="E1315">
        <v>0.370668</v>
      </c>
      <c r="F1315">
        <v>31.699200000000001</v>
      </c>
      <c r="G1315">
        <f t="shared" si="80"/>
        <v>7.9638823614806498</v>
      </c>
      <c r="H1315">
        <f t="shared" si="81"/>
        <v>4.2901388888888885</v>
      </c>
      <c r="I1315">
        <f t="shared" si="82"/>
        <v>4.6543630753868293</v>
      </c>
    </row>
    <row r="1316" spans="1:9" x14ac:dyDescent="0.25">
      <c r="A1316" t="s">
        <v>313</v>
      </c>
      <c r="B1316" t="str">
        <f t="shared" si="79"/>
        <v>X100-51H240.650</v>
      </c>
      <c r="C1316">
        <v>0.6</v>
      </c>
      <c r="D1316">
        <v>50</v>
      </c>
      <c r="E1316">
        <v>0.39247199999999999</v>
      </c>
      <c r="F1316">
        <v>32.613599999999998</v>
      </c>
      <c r="G1316">
        <f t="shared" si="80"/>
        <v>8.2029785558981061</v>
      </c>
      <c r="H1316">
        <f t="shared" si="81"/>
        <v>4.5424999999999995</v>
      </c>
      <c r="I1316">
        <f t="shared" si="82"/>
        <v>4.7845059855460033</v>
      </c>
    </row>
    <row r="1317" spans="1:9" x14ac:dyDescent="0.25">
      <c r="A1317" t="s">
        <v>313</v>
      </c>
      <c r="B1317" t="str">
        <f t="shared" si="79"/>
        <v>X100-51H240.6540</v>
      </c>
      <c r="C1317">
        <v>0.65</v>
      </c>
      <c r="D1317">
        <v>40</v>
      </c>
      <c r="E1317">
        <v>0.41427600000000003</v>
      </c>
      <c r="F1317">
        <v>32.004000000000005</v>
      </c>
      <c r="G1317">
        <f t="shared" si="80"/>
        <v>8.0435227202515449</v>
      </c>
      <c r="H1317">
        <f t="shared" si="81"/>
        <v>4.7948611111111115</v>
      </c>
      <c r="I1317">
        <f t="shared" si="82"/>
        <v>5.1504299099815851</v>
      </c>
    </row>
    <row r="1318" spans="1:9" x14ac:dyDescent="0.25">
      <c r="A1318" t="s">
        <v>314</v>
      </c>
      <c r="B1318" t="str">
        <f t="shared" ref="B1318:B1381" si="83">A1318&amp;C1318&amp;D1318</f>
        <v>X100-51L180.490</v>
      </c>
      <c r="C1318">
        <v>0.4</v>
      </c>
      <c r="D1318">
        <v>90</v>
      </c>
      <c r="E1318">
        <v>0.22894200000000001</v>
      </c>
      <c r="F1318">
        <v>28.651200000000003</v>
      </c>
      <c r="G1318">
        <f t="shared" si="80"/>
        <v>7.1706892723592546</v>
      </c>
      <c r="H1318">
        <f t="shared" si="81"/>
        <v>2.6497916666666668</v>
      </c>
      <c r="I1318">
        <f t="shared" si="82"/>
        <v>3.1927474654702888</v>
      </c>
    </row>
    <row r="1319" spans="1:9" x14ac:dyDescent="0.25">
      <c r="A1319" t="s">
        <v>314</v>
      </c>
      <c r="B1319" t="str">
        <f t="shared" si="83"/>
        <v>X100-51L180.495</v>
      </c>
      <c r="C1319">
        <v>0.4</v>
      </c>
      <c r="D1319">
        <v>95</v>
      </c>
      <c r="E1319">
        <v>0.23439300000000002</v>
      </c>
      <c r="F1319">
        <v>29.5656</v>
      </c>
      <c r="G1319">
        <f t="shared" si="80"/>
        <v>7.4080342857289523</v>
      </c>
      <c r="H1319">
        <f t="shared" si="81"/>
        <v>2.7128819444444443</v>
      </c>
      <c r="I1319">
        <f t="shared" si="82"/>
        <v>3.1640377320005304</v>
      </c>
    </row>
    <row r="1320" spans="1:9" x14ac:dyDescent="0.25">
      <c r="A1320" t="s">
        <v>314</v>
      </c>
      <c r="B1320" t="str">
        <f t="shared" si="83"/>
        <v>X100-51L180.4100</v>
      </c>
      <c r="C1320">
        <v>0.4</v>
      </c>
      <c r="D1320">
        <v>100</v>
      </c>
      <c r="E1320">
        <v>0.24529500000000001</v>
      </c>
      <c r="F1320">
        <v>30.1752</v>
      </c>
      <c r="G1320">
        <f t="shared" si="80"/>
        <v>7.5665561581500427</v>
      </c>
      <c r="H1320">
        <f t="shared" si="81"/>
        <v>2.8390624999999998</v>
      </c>
      <c r="I1320">
        <f t="shared" si="82"/>
        <v>3.2418314867826545</v>
      </c>
    </row>
    <row r="1321" spans="1:9" x14ac:dyDescent="0.25">
      <c r="A1321" t="s">
        <v>314</v>
      </c>
      <c r="B1321" t="str">
        <f t="shared" si="83"/>
        <v>X100-51L180.4590</v>
      </c>
      <c r="C1321">
        <v>0.45</v>
      </c>
      <c r="D1321">
        <v>90</v>
      </c>
      <c r="E1321">
        <v>0.28345199999999998</v>
      </c>
      <c r="F1321">
        <v>33.223199999999999</v>
      </c>
      <c r="G1321">
        <f t="shared" si="80"/>
        <v>8.3626678823510403</v>
      </c>
      <c r="H1321">
        <f t="shared" si="81"/>
        <v>3.2806944444444439</v>
      </c>
      <c r="I1321">
        <f t="shared" si="82"/>
        <v>3.3894924919619269</v>
      </c>
    </row>
    <row r="1322" spans="1:9" x14ac:dyDescent="0.25">
      <c r="A1322" t="s">
        <v>314</v>
      </c>
      <c r="B1322" t="str">
        <f t="shared" si="83"/>
        <v>X100-51L180.4595</v>
      </c>
      <c r="C1322">
        <v>0.45</v>
      </c>
      <c r="D1322">
        <v>95</v>
      </c>
      <c r="E1322">
        <v>0.294354</v>
      </c>
      <c r="F1322">
        <v>34.137599999999999</v>
      </c>
      <c r="G1322">
        <f t="shared" si="80"/>
        <v>8.6026396672923866</v>
      </c>
      <c r="H1322">
        <f t="shared" si="81"/>
        <v>3.4068749999999999</v>
      </c>
      <c r="I1322">
        <f t="shared" si="82"/>
        <v>3.4216706892786277</v>
      </c>
    </row>
    <row r="1323" spans="1:9" x14ac:dyDescent="0.25">
      <c r="A1323" t="s">
        <v>314</v>
      </c>
      <c r="B1323" t="str">
        <f t="shared" si="83"/>
        <v>X100-51L180.45100</v>
      </c>
      <c r="C1323">
        <v>0.45</v>
      </c>
      <c r="D1323">
        <v>100</v>
      </c>
      <c r="E1323">
        <v>0.30525600000000003</v>
      </c>
      <c r="F1323">
        <v>35.052</v>
      </c>
      <c r="G1323">
        <f t="shared" si="80"/>
        <v>8.8431368065480598</v>
      </c>
      <c r="H1323">
        <f t="shared" si="81"/>
        <v>3.5330555555555558</v>
      </c>
      <c r="I1323">
        <f t="shared" si="82"/>
        <v>3.4518972925304938</v>
      </c>
    </row>
    <row r="1324" spans="1:9" x14ac:dyDescent="0.25">
      <c r="A1324" t="s">
        <v>314</v>
      </c>
      <c r="B1324" t="str">
        <f t="shared" si="83"/>
        <v>X100-51L180.580</v>
      </c>
      <c r="C1324">
        <v>0.5</v>
      </c>
      <c r="D1324">
        <v>80</v>
      </c>
      <c r="E1324">
        <v>0.32160900000000003</v>
      </c>
      <c r="F1324">
        <v>32.918399999999998</v>
      </c>
      <c r="G1324">
        <f t="shared" si="80"/>
        <v>8.2827940327737792</v>
      </c>
      <c r="H1324">
        <f t="shared" si="81"/>
        <v>3.7223263888888889</v>
      </c>
      <c r="I1324">
        <f t="shared" si="82"/>
        <v>3.882856421727273</v>
      </c>
    </row>
    <row r="1325" spans="1:9" x14ac:dyDescent="0.25">
      <c r="A1325" t="s">
        <v>314</v>
      </c>
      <c r="B1325" t="str">
        <f t="shared" si="83"/>
        <v>X100-51L180.585</v>
      </c>
      <c r="C1325">
        <v>0.5</v>
      </c>
      <c r="D1325">
        <v>85</v>
      </c>
      <c r="E1325">
        <v>0.332511</v>
      </c>
      <c r="F1325">
        <v>33.527999999999999</v>
      </c>
      <c r="G1325">
        <f t="shared" si="80"/>
        <v>8.4426001046298964</v>
      </c>
      <c r="H1325">
        <f t="shared" si="81"/>
        <v>3.8485069444444444</v>
      </c>
      <c r="I1325">
        <f t="shared" si="82"/>
        <v>3.9384904635913287</v>
      </c>
    </row>
    <row r="1326" spans="1:9" x14ac:dyDescent="0.25">
      <c r="A1326" t="s">
        <v>314</v>
      </c>
      <c r="B1326" t="str">
        <f t="shared" si="83"/>
        <v>X100-51L180.590</v>
      </c>
      <c r="C1326">
        <v>0.5</v>
      </c>
      <c r="D1326">
        <v>90</v>
      </c>
      <c r="E1326">
        <v>0.34341300000000002</v>
      </c>
      <c r="F1326">
        <v>34.137599999999999</v>
      </c>
      <c r="G1326">
        <f t="shared" si="80"/>
        <v>8.6026396672923866</v>
      </c>
      <c r="H1326">
        <f t="shared" si="81"/>
        <v>3.9746874999999999</v>
      </c>
      <c r="I1326">
        <f t="shared" si="82"/>
        <v>3.9919491374917322</v>
      </c>
    </row>
    <row r="1327" spans="1:9" x14ac:dyDescent="0.25">
      <c r="A1327" t="s">
        <v>314</v>
      </c>
      <c r="B1327" t="str">
        <f t="shared" si="83"/>
        <v>X100-51L180.595</v>
      </c>
      <c r="C1327">
        <v>0.5</v>
      </c>
      <c r="D1327">
        <v>95</v>
      </c>
      <c r="E1327">
        <v>0.35431499999999999</v>
      </c>
      <c r="F1327">
        <v>35.052</v>
      </c>
      <c r="G1327">
        <f t="shared" si="80"/>
        <v>8.8431368065480598</v>
      </c>
      <c r="H1327">
        <f t="shared" si="81"/>
        <v>4.100868055555555</v>
      </c>
      <c r="I1327">
        <f t="shared" si="82"/>
        <v>4.0066665002586079</v>
      </c>
    </row>
    <row r="1328" spans="1:9" x14ac:dyDescent="0.25">
      <c r="A1328" t="s">
        <v>314</v>
      </c>
      <c r="B1328" t="str">
        <f t="shared" si="83"/>
        <v>X100-51L180.5100</v>
      </c>
      <c r="C1328">
        <v>0.5</v>
      </c>
      <c r="D1328">
        <v>100</v>
      </c>
      <c r="E1328">
        <v>0.36521700000000001</v>
      </c>
      <c r="F1328">
        <v>35.9664</v>
      </c>
      <c r="G1328">
        <f t="shared" si="80"/>
        <v>9.0841593001180527</v>
      </c>
      <c r="H1328">
        <f t="shared" si="81"/>
        <v>4.227048611111111</v>
      </c>
      <c r="I1328">
        <f t="shared" si="82"/>
        <v>4.0203720337142688</v>
      </c>
    </row>
    <row r="1329" spans="1:9" x14ac:dyDescent="0.25">
      <c r="A1329" t="s">
        <v>314</v>
      </c>
      <c r="B1329" t="str">
        <f t="shared" si="83"/>
        <v>X100-51L180.5565</v>
      </c>
      <c r="C1329">
        <v>0.55000000000000004</v>
      </c>
      <c r="D1329">
        <v>65</v>
      </c>
      <c r="E1329">
        <v>0.35431499999999999</v>
      </c>
      <c r="F1329">
        <v>32.004000000000005</v>
      </c>
      <c r="G1329">
        <f t="shared" si="80"/>
        <v>8.0435227202515449</v>
      </c>
      <c r="H1329">
        <f t="shared" si="81"/>
        <v>4.100868055555555</v>
      </c>
      <c r="I1329">
        <f t="shared" si="82"/>
        <v>4.4049729493263561</v>
      </c>
    </row>
    <row r="1330" spans="1:9" x14ac:dyDescent="0.25">
      <c r="A1330" t="s">
        <v>314</v>
      </c>
      <c r="B1330" t="str">
        <f t="shared" si="83"/>
        <v>X100-51L180.5570</v>
      </c>
      <c r="C1330">
        <v>0.55000000000000004</v>
      </c>
      <c r="D1330">
        <v>70</v>
      </c>
      <c r="E1330">
        <v>0.370668</v>
      </c>
      <c r="F1330">
        <v>32.918399999999998</v>
      </c>
      <c r="G1330">
        <f t="shared" si="80"/>
        <v>8.2827940327737792</v>
      </c>
      <c r="H1330">
        <f t="shared" si="81"/>
        <v>4.2901388888888885</v>
      </c>
      <c r="I1330">
        <f t="shared" si="82"/>
        <v>4.475156553855161</v>
      </c>
    </row>
    <row r="1331" spans="1:9" x14ac:dyDescent="0.25">
      <c r="A1331" t="s">
        <v>314</v>
      </c>
      <c r="B1331" t="str">
        <f t="shared" si="83"/>
        <v>X100-51L180.5575</v>
      </c>
      <c r="C1331">
        <v>0.55000000000000004</v>
      </c>
      <c r="D1331">
        <v>75</v>
      </c>
      <c r="E1331">
        <v>0.38157000000000002</v>
      </c>
      <c r="F1331">
        <v>33.527999999999999</v>
      </c>
      <c r="G1331">
        <f t="shared" si="80"/>
        <v>8.4426001046298964</v>
      </c>
      <c r="H1331">
        <f t="shared" si="81"/>
        <v>4.4163194444444445</v>
      </c>
      <c r="I1331">
        <f t="shared" si="82"/>
        <v>4.5195792205146397</v>
      </c>
    </row>
    <row r="1332" spans="1:9" x14ac:dyDescent="0.25">
      <c r="A1332" t="s">
        <v>314</v>
      </c>
      <c r="B1332" t="str">
        <f t="shared" si="83"/>
        <v>X100-51L180.5580</v>
      </c>
      <c r="C1332">
        <v>0.55000000000000004</v>
      </c>
      <c r="D1332">
        <v>80</v>
      </c>
      <c r="E1332">
        <v>0.39247199999999999</v>
      </c>
      <c r="F1332">
        <v>33.832799999999999</v>
      </c>
      <c r="G1332">
        <f t="shared" si="80"/>
        <v>8.5225906996103404</v>
      </c>
      <c r="H1332">
        <f t="shared" si="81"/>
        <v>4.5424999999999995</v>
      </c>
      <c r="I1332">
        <f t="shared" si="82"/>
        <v>4.6050785944459838</v>
      </c>
    </row>
    <row r="1333" spans="1:9" x14ac:dyDescent="0.25">
      <c r="A1333" t="s">
        <v>314</v>
      </c>
      <c r="B1333" t="str">
        <f t="shared" si="83"/>
        <v>X100-51L180.5585</v>
      </c>
      <c r="C1333">
        <v>0.55000000000000004</v>
      </c>
      <c r="D1333">
        <v>85</v>
      </c>
      <c r="E1333">
        <v>0.40882499999999999</v>
      </c>
      <c r="F1333">
        <v>34.442399999999999</v>
      </c>
      <c r="G1333">
        <f t="shared" si="80"/>
        <v>8.6827470076760207</v>
      </c>
      <c r="H1333">
        <f t="shared" si="81"/>
        <v>4.731770833333333</v>
      </c>
      <c r="I1333">
        <f t="shared" si="82"/>
        <v>4.7084753205244434</v>
      </c>
    </row>
    <row r="1334" spans="1:9" x14ac:dyDescent="0.25">
      <c r="A1334" t="s">
        <v>314</v>
      </c>
      <c r="B1334" t="str">
        <f t="shared" si="83"/>
        <v>X100-51L180.5590</v>
      </c>
      <c r="C1334">
        <v>0.55000000000000004</v>
      </c>
      <c r="D1334">
        <v>90</v>
      </c>
      <c r="E1334">
        <v>0.41972700000000002</v>
      </c>
      <c r="F1334">
        <v>35.3568</v>
      </c>
      <c r="G1334">
        <f t="shared" si="80"/>
        <v>8.9234192650364648</v>
      </c>
      <c r="H1334">
        <f t="shared" si="81"/>
        <v>4.857951388888889</v>
      </c>
      <c r="I1334">
        <f t="shared" si="82"/>
        <v>4.7036566089028753</v>
      </c>
    </row>
    <row r="1335" spans="1:9" x14ac:dyDescent="0.25">
      <c r="A1335" t="s">
        <v>314</v>
      </c>
      <c r="B1335" t="str">
        <f t="shared" si="83"/>
        <v>X100-51L180.5595</v>
      </c>
      <c r="C1335">
        <v>0.55000000000000004</v>
      </c>
      <c r="D1335">
        <v>95</v>
      </c>
      <c r="E1335">
        <v>0.43608000000000002</v>
      </c>
      <c r="F1335">
        <v>35.9664</v>
      </c>
      <c r="G1335">
        <f t="shared" si="80"/>
        <v>9.0841593001180527</v>
      </c>
      <c r="H1335">
        <f t="shared" si="81"/>
        <v>5.0472222222222225</v>
      </c>
      <c r="I1335">
        <f t="shared" si="82"/>
        <v>4.8004442193603207</v>
      </c>
    </row>
    <row r="1336" spans="1:9" x14ac:dyDescent="0.25">
      <c r="A1336" t="s">
        <v>314</v>
      </c>
      <c r="B1336" t="str">
        <f t="shared" si="83"/>
        <v>X100-51L180.55100</v>
      </c>
      <c r="C1336">
        <v>0.55000000000000004</v>
      </c>
      <c r="D1336">
        <v>100</v>
      </c>
      <c r="E1336">
        <v>0.45243300000000003</v>
      </c>
      <c r="F1336">
        <v>36.880800000000001</v>
      </c>
      <c r="G1336">
        <f t="shared" si="80"/>
        <v>9.3257071480023868</v>
      </c>
      <c r="H1336">
        <f t="shared" si="81"/>
        <v>5.236493055555556</v>
      </c>
      <c r="I1336">
        <f t="shared" si="82"/>
        <v>4.8514605146797205</v>
      </c>
    </row>
    <row r="1337" spans="1:9" x14ac:dyDescent="0.25">
      <c r="A1337" t="s">
        <v>314</v>
      </c>
      <c r="B1337" t="str">
        <f t="shared" si="83"/>
        <v>X100-51L180.655</v>
      </c>
      <c r="C1337">
        <v>0.6</v>
      </c>
      <c r="D1337">
        <v>55</v>
      </c>
      <c r="E1337">
        <v>0.39247199999999999</v>
      </c>
      <c r="F1337">
        <v>31.699200000000001</v>
      </c>
      <c r="G1337">
        <f t="shared" si="80"/>
        <v>7.9638823614806498</v>
      </c>
      <c r="H1337">
        <f t="shared" si="81"/>
        <v>4.5424999999999995</v>
      </c>
      <c r="I1337">
        <f t="shared" si="82"/>
        <v>4.9281491386448781</v>
      </c>
    </row>
    <row r="1338" spans="1:9" x14ac:dyDescent="0.25">
      <c r="A1338" t="s">
        <v>314</v>
      </c>
      <c r="B1338" t="str">
        <f t="shared" si="83"/>
        <v>X100-51L180.660</v>
      </c>
      <c r="C1338">
        <v>0.6</v>
      </c>
      <c r="D1338">
        <v>60</v>
      </c>
      <c r="E1338">
        <v>0.425178</v>
      </c>
      <c r="F1338">
        <v>32.918399999999998</v>
      </c>
      <c r="G1338">
        <f t="shared" si="80"/>
        <v>8.2827940327737792</v>
      </c>
      <c r="H1338">
        <f t="shared" si="81"/>
        <v>4.9210416666666665</v>
      </c>
      <c r="I1338">
        <f t="shared" si="82"/>
        <v>5.1332678117750374</v>
      </c>
    </row>
    <row r="1339" spans="1:9" x14ac:dyDescent="0.25">
      <c r="A1339" t="s">
        <v>314</v>
      </c>
      <c r="B1339" t="str">
        <f t="shared" si="83"/>
        <v>X100-51L180.665</v>
      </c>
      <c r="C1339">
        <v>0.6</v>
      </c>
      <c r="D1339">
        <v>65</v>
      </c>
      <c r="E1339">
        <v>0.43608000000000002</v>
      </c>
      <c r="F1339">
        <v>33.527999999999999</v>
      </c>
      <c r="G1339">
        <f t="shared" si="80"/>
        <v>8.4426001046298964</v>
      </c>
      <c r="H1339">
        <f t="shared" si="81"/>
        <v>5.0472222222222225</v>
      </c>
      <c r="I1339">
        <f t="shared" si="82"/>
        <v>5.1652333948738738</v>
      </c>
    </row>
    <row r="1340" spans="1:9" x14ac:dyDescent="0.25">
      <c r="A1340" t="s">
        <v>314</v>
      </c>
      <c r="B1340" t="str">
        <f t="shared" si="83"/>
        <v>X100-51L180.670</v>
      </c>
      <c r="C1340">
        <v>0.6</v>
      </c>
      <c r="D1340">
        <v>70</v>
      </c>
      <c r="E1340">
        <v>0.44153100000000001</v>
      </c>
      <c r="F1340">
        <v>33.832799999999999</v>
      </c>
      <c r="G1340">
        <f t="shared" si="80"/>
        <v>8.5225906996103404</v>
      </c>
      <c r="H1340">
        <f t="shared" si="81"/>
        <v>5.1103125</v>
      </c>
      <c r="I1340">
        <f t="shared" si="82"/>
        <v>5.1807134187517319</v>
      </c>
    </row>
    <row r="1341" spans="1:9" x14ac:dyDescent="0.25">
      <c r="A1341" t="s">
        <v>314</v>
      </c>
      <c r="B1341" t="str">
        <f t="shared" si="83"/>
        <v>X100-51L180.675</v>
      </c>
      <c r="C1341">
        <v>0.6</v>
      </c>
      <c r="D1341">
        <v>75</v>
      </c>
      <c r="E1341">
        <v>0.45788400000000001</v>
      </c>
      <c r="F1341">
        <v>35.052</v>
      </c>
      <c r="G1341">
        <f t="shared" si="80"/>
        <v>8.8431368065480598</v>
      </c>
      <c r="H1341">
        <f t="shared" si="81"/>
        <v>5.2995833333333335</v>
      </c>
      <c r="I1341">
        <f t="shared" si="82"/>
        <v>5.1778459387957403</v>
      </c>
    </row>
    <row r="1342" spans="1:9" x14ac:dyDescent="0.25">
      <c r="A1342" t="s">
        <v>314</v>
      </c>
      <c r="B1342" t="str">
        <f t="shared" si="83"/>
        <v>X100-51L180.680</v>
      </c>
      <c r="C1342">
        <v>0.6</v>
      </c>
      <c r="D1342">
        <v>80</v>
      </c>
      <c r="E1342">
        <v>0.46878600000000004</v>
      </c>
      <c r="F1342">
        <v>35.9664</v>
      </c>
      <c r="G1342">
        <f t="shared" si="80"/>
        <v>9.0841593001180527</v>
      </c>
      <c r="H1342">
        <f t="shared" si="81"/>
        <v>5.4257638888888886</v>
      </c>
      <c r="I1342">
        <f t="shared" si="82"/>
        <v>5.1604775358123449</v>
      </c>
    </row>
    <row r="1343" spans="1:9" x14ac:dyDescent="0.25">
      <c r="A1343" t="s">
        <v>314</v>
      </c>
      <c r="B1343" t="str">
        <f t="shared" si="83"/>
        <v>X100-51L180.685</v>
      </c>
      <c r="C1343">
        <v>0.6</v>
      </c>
      <c r="D1343">
        <v>85</v>
      </c>
      <c r="E1343">
        <v>0.48513899999999999</v>
      </c>
      <c r="F1343">
        <v>36.880800000000001</v>
      </c>
      <c r="G1343">
        <f t="shared" si="80"/>
        <v>9.3257071480023868</v>
      </c>
      <c r="H1343">
        <f t="shared" si="81"/>
        <v>5.6150347222222221</v>
      </c>
      <c r="I1343">
        <f t="shared" si="82"/>
        <v>5.202168503692711</v>
      </c>
    </row>
    <row r="1344" spans="1:9" x14ac:dyDescent="0.25">
      <c r="A1344" t="s">
        <v>314</v>
      </c>
      <c r="B1344" t="str">
        <f t="shared" si="83"/>
        <v>X100-51L180.690</v>
      </c>
      <c r="C1344">
        <v>0.6</v>
      </c>
      <c r="D1344">
        <v>90</v>
      </c>
      <c r="E1344">
        <v>0.50694300000000003</v>
      </c>
      <c r="F1344">
        <v>37.795200000000001</v>
      </c>
      <c r="G1344">
        <f t="shared" si="80"/>
        <v>9.5677803502010477</v>
      </c>
      <c r="H1344">
        <f t="shared" si="81"/>
        <v>5.8673958333333331</v>
      </c>
      <c r="I1344">
        <f t="shared" si="82"/>
        <v>5.2984389424172731</v>
      </c>
    </row>
    <row r="1345" spans="1:9" x14ac:dyDescent="0.25">
      <c r="A1345" t="s">
        <v>314</v>
      </c>
      <c r="B1345" t="str">
        <f t="shared" si="83"/>
        <v>X100-51L180.695</v>
      </c>
      <c r="C1345">
        <v>0.6</v>
      </c>
      <c r="D1345">
        <v>95</v>
      </c>
      <c r="E1345">
        <v>0.52329599999999998</v>
      </c>
      <c r="F1345">
        <v>39.014400000000002</v>
      </c>
      <c r="G1345">
        <f t="shared" si="80"/>
        <v>9.8913618376215311</v>
      </c>
      <c r="H1345">
        <f t="shared" si="81"/>
        <v>6.0566666666666658</v>
      </c>
      <c r="I1345">
        <f t="shared" si="82"/>
        <v>5.2904343061200896</v>
      </c>
    </row>
    <row r="1346" spans="1:9" x14ac:dyDescent="0.25">
      <c r="A1346" t="s">
        <v>314</v>
      </c>
      <c r="B1346" t="str">
        <f t="shared" si="83"/>
        <v>X100-51L180.6100</v>
      </c>
      <c r="C1346">
        <v>0.6</v>
      </c>
      <c r="D1346">
        <v>100</v>
      </c>
      <c r="E1346">
        <v>0.53964900000000005</v>
      </c>
      <c r="F1346">
        <v>39.928800000000003</v>
      </c>
      <c r="G1346">
        <f t="shared" si="80"/>
        <v>10.134660866553624</v>
      </c>
      <c r="H1346">
        <f t="shared" si="81"/>
        <v>6.2459375000000001</v>
      </c>
      <c r="I1346">
        <f t="shared" si="82"/>
        <v>5.3247859706973326</v>
      </c>
    </row>
    <row r="1347" spans="1:9" x14ac:dyDescent="0.25">
      <c r="A1347" t="s">
        <v>314</v>
      </c>
      <c r="B1347" t="str">
        <f t="shared" si="83"/>
        <v>X100-51L180.6545</v>
      </c>
      <c r="C1347">
        <v>0.65</v>
      </c>
      <c r="D1347">
        <v>45</v>
      </c>
      <c r="E1347">
        <v>0.41427600000000003</v>
      </c>
      <c r="F1347">
        <v>31.089600000000001</v>
      </c>
      <c r="G1347">
        <f t="shared" ref="G1347:G1410" si="84">(PI()*(G$1+F1347)^2)/10000-((PI()*(G$1)^2)/10000)</f>
        <v>7.8047767620436375</v>
      </c>
      <c r="H1347">
        <f t="shared" ref="H1347:H1410" si="85">E1347/0.0864</f>
        <v>4.7948611111111115</v>
      </c>
      <c r="I1347">
        <f t="shared" ref="I1347:I1410" si="86">E1347/G1347*100</f>
        <v>5.3079801335858345</v>
      </c>
    </row>
    <row r="1348" spans="1:9" x14ac:dyDescent="0.25">
      <c r="A1348" t="s">
        <v>314</v>
      </c>
      <c r="B1348" t="str">
        <f t="shared" si="83"/>
        <v>X100-51L180.6550</v>
      </c>
      <c r="C1348">
        <v>0.65</v>
      </c>
      <c r="D1348">
        <v>50</v>
      </c>
      <c r="E1348">
        <v>0.43608000000000002</v>
      </c>
      <c r="F1348">
        <v>32.004000000000005</v>
      </c>
      <c r="G1348">
        <f t="shared" si="84"/>
        <v>8.0435227202515449</v>
      </c>
      <c r="H1348">
        <f t="shared" si="85"/>
        <v>5.0472222222222225</v>
      </c>
      <c r="I1348">
        <f t="shared" si="86"/>
        <v>5.4215051684016693</v>
      </c>
    </row>
    <row r="1349" spans="1:9" x14ac:dyDescent="0.25">
      <c r="A1349" t="s">
        <v>314</v>
      </c>
      <c r="B1349" t="str">
        <f t="shared" si="83"/>
        <v>X100-51L180.6555</v>
      </c>
      <c r="C1349">
        <v>0.65</v>
      </c>
      <c r="D1349">
        <v>55</v>
      </c>
      <c r="E1349">
        <v>0.45788400000000001</v>
      </c>
      <c r="F1349">
        <v>33.223199999999999</v>
      </c>
      <c r="G1349">
        <f t="shared" si="84"/>
        <v>8.3626678823510403</v>
      </c>
      <c r="H1349">
        <f t="shared" si="85"/>
        <v>5.2995833333333335</v>
      </c>
      <c r="I1349">
        <f t="shared" si="86"/>
        <v>5.4753340254769594</v>
      </c>
    </row>
    <row r="1350" spans="1:9" x14ac:dyDescent="0.25">
      <c r="A1350" t="s">
        <v>314</v>
      </c>
      <c r="B1350" t="str">
        <f t="shared" si="83"/>
        <v>X100-51L180.6560</v>
      </c>
      <c r="C1350">
        <v>0.65</v>
      </c>
      <c r="D1350">
        <v>60</v>
      </c>
      <c r="E1350">
        <v>0.479688</v>
      </c>
      <c r="F1350">
        <v>34.137599999999999</v>
      </c>
      <c r="G1350">
        <f t="shared" si="84"/>
        <v>8.6026396672923866</v>
      </c>
      <c r="H1350">
        <f t="shared" si="85"/>
        <v>5.5519444444444446</v>
      </c>
      <c r="I1350">
        <f t="shared" si="86"/>
        <v>5.5760559380836883</v>
      </c>
    </row>
    <row r="1351" spans="1:9" x14ac:dyDescent="0.25">
      <c r="A1351" t="s">
        <v>314</v>
      </c>
      <c r="B1351" t="str">
        <f t="shared" si="83"/>
        <v>X100-51L180.6565</v>
      </c>
      <c r="C1351">
        <v>0.65</v>
      </c>
      <c r="D1351">
        <v>65</v>
      </c>
      <c r="E1351">
        <v>0.50694300000000003</v>
      </c>
      <c r="F1351">
        <v>35.3568</v>
      </c>
      <c r="G1351">
        <f t="shared" si="84"/>
        <v>8.9234192650364648</v>
      </c>
      <c r="H1351">
        <f t="shared" si="85"/>
        <v>5.8673958333333331</v>
      </c>
      <c r="I1351">
        <f t="shared" si="86"/>
        <v>5.6810398003632123</v>
      </c>
    </row>
    <row r="1352" spans="1:9" x14ac:dyDescent="0.25">
      <c r="A1352" t="s">
        <v>314</v>
      </c>
      <c r="B1352" t="str">
        <f t="shared" si="83"/>
        <v>X100-51L180.6570</v>
      </c>
      <c r="C1352">
        <v>0.65</v>
      </c>
      <c r="D1352">
        <v>70</v>
      </c>
      <c r="E1352">
        <v>0.53419800000000006</v>
      </c>
      <c r="F1352">
        <v>36.2712</v>
      </c>
      <c r="G1352">
        <f t="shared" si="84"/>
        <v>9.1646168767112357</v>
      </c>
      <c r="H1352">
        <f t="shared" si="85"/>
        <v>6.1828472222222226</v>
      </c>
      <c r="I1352">
        <f t="shared" si="86"/>
        <v>5.8289179699097193</v>
      </c>
    </row>
    <row r="1353" spans="1:9" x14ac:dyDescent="0.25">
      <c r="A1353" t="s">
        <v>314</v>
      </c>
      <c r="B1353" t="str">
        <f t="shared" si="83"/>
        <v>X100-51L180.6575</v>
      </c>
      <c r="C1353">
        <v>0.65</v>
      </c>
      <c r="D1353">
        <v>75</v>
      </c>
      <c r="E1353">
        <v>0.54510000000000003</v>
      </c>
      <c r="F1353">
        <v>37.185600000000001</v>
      </c>
      <c r="G1353">
        <f t="shared" si="84"/>
        <v>9.4063398427003477</v>
      </c>
      <c r="H1353">
        <f t="shared" si="85"/>
        <v>6.3090277777777777</v>
      </c>
      <c r="I1353">
        <f t="shared" si="86"/>
        <v>5.7950277059468238</v>
      </c>
    </row>
    <row r="1354" spans="1:9" x14ac:dyDescent="0.25">
      <c r="A1354" t="s">
        <v>314</v>
      </c>
      <c r="B1354" t="str">
        <f t="shared" si="83"/>
        <v>X100-51L180.6580</v>
      </c>
      <c r="C1354">
        <v>0.65</v>
      </c>
      <c r="D1354">
        <v>80</v>
      </c>
      <c r="E1354">
        <v>0.556002</v>
      </c>
      <c r="F1354">
        <v>38.1</v>
      </c>
      <c r="G1354">
        <f t="shared" si="84"/>
        <v>9.6485881630037866</v>
      </c>
      <c r="H1354">
        <f t="shared" si="85"/>
        <v>6.4352083333333328</v>
      </c>
      <c r="I1354">
        <f t="shared" si="86"/>
        <v>5.7625218384998007</v>
      </c>
    </row>
    <row r="1355" spans="1:9" x14ac:dyDescent="0.25">
      <c r="A1355" t="s">
        <v>314</v>
      </c>
      <c r="B1355" t="str">
        <f t="shared" si="83"/>
        <v>X100-51L180.6585</v>
      </c>
      <c r="C1355">
        <v>0.65</v>
      </c>
      <c r="D1355">
        <v>85</v>
      </c>
      <c r="E1355">
        <v>0.56690399999999996</v>
      </c>
      <c r="F1355">
        <v>39.319200000000002</v>
      </c>
      <c r="G1355">
        <f t="shared" si="84"/>
        <v>9.9724031412306431</v>
      </c>
      <c r="H1355">
        <f t="shared" si="85"/>
        <v>6.5613888888888878</v>
      </c>
      <c r="I1355">
        <f t="shared" si="86"/>
        <v>5.6847280637517557</v>
      </c>
    </row>
    <row r="1356" spans="1:9" x14ac:dyDescent="0.25">
      <c r="A1356" t="s">
        <v>314</v>
      </c>
      <c r="B1356" t="str">
        <f t="shared" si="83"/>
        <v>X100-51L180.6590</v>
      </c>
      <c r="C1356">
        <v>0.65</v>
      </c>
      <c r="D1356">
        <v>90</v>
      </c>
      <c r="E1356">
        <v>0.58325700000000003</v>
      </c>
      <c r="F1356">
        <v>40.538400000000003</v>
      </c>
      <c r="G1356">
        <f t="shared" si="84"/>
        <v>10.297152082682977</v>
      </c>
      <c r="H1356">
        <f t="shared" si="85"/>
        <v>6.7506597222222222</v>
      </c>
      <c r="I1356">
        <f t="shared" si="86"/>
        <v>5.664255469052268</v>
      </c>
    </row>
    <row r="1357" spans="1:9" x14ac:dyDescent="0.25">
      <c r="A1357" t="s">
        <v>314</v>
      </c>
      <c r="B1357" t="str">
        <f t="shared" si="83"/>
        <v>X100-51L180.6595</v>
      </c>
      <c r="C1357">
        <v>0.65</v>
      </c>
      <c r="D1357">
        <v>95</v>
      </c>
      <c r="E1357">
        <v>0.60506099999999996</v>
      </c>
      <c r="F1357">
        <v>41.757600000000004</v>
      </c>
      <c r="G1357">
        <f t="shared" si="84"/>
        <v>10.622834987360797</v>
      </c>
      <c r="H1357">
        <f t="shared" si="85"/>
        <v>7.0030208333333324</v>
      </c>
      <c r="I1357">
        <f t="shared" si="86"/>
        <v>5.6958523851675222</v>
      </c>
    </row>
    <row r="1358" spans="1:9" x14ac:dyDescent="0.25">
      <c r="A1358" t="s">
        <v>314</v>
      </c>
      <c r="B1358" t="str">
        <f t="shared" si="83"/>
        <v>X100-51L180.65100</v>
      </c>
      <c r="C1358">
        <v>0.65</v>
      </c>
      <c r="D1358">
        <v>100</v>
      </c>
      <c r="E1358">
        <v>0.62686500000000001</v>
      </c>
      <c r="F1358">
        <v>42.976800000000004</v>
      </c>
      <c r="G1358">
        <f t="shared" si="84"/>
        <v>10.94945185526408</v>
      </c>
      <c r="H1358">
        <f t="shared" si="85"/>
        <v>7.2553819444444443</v>
      </c>
      <c r="I1358">
        <f t="shared" si="86"/>
        <v>5.7250811116962641</v>
      </c>
    </row>
    <row r="1359" spans="1:9" x14ac:dyDescent="0.25">
      <c r="A1359" t="s">
        <v>314</v>
      </c>
      <c r="B1359" t="str">
        <f t="shared" si="83"/>
        <v>X100-51L180.740</v>
      </c>
      <c r="C1359">
        <v>0.7</v>
      </c>
      <c r="D1359">
        <v>40</v>
      </c>
      <c r="E1359">
        <v>0.45788400000000001</v>
      </c>
      <c r="F1359">
        <v>31.089600000000001</v>
      </c>
      <c r="G1359">
        <f t="shared" si="84"/>
        <v>7.8047767620436375</v>
      </c>
      <c r="H1359">
        <f t="shared" si="85"/>
        <v>5.2995833333333335</v>
      </c>
      <c r="I1359">
        <f t="shared" si="86"/>
        <v>5.8667148844896069</v>
      </c>
    </row>
    <row r="1360" spans="1:9" x14ac:dyDescent="0.25">
      <c r="A1360" t="s">
        <v>314</v>
      </c>
      <c r="B1360" t="str">
        <f t="shared" si="83"/>
        <v>X100-51L180.745</v>
      </c>
      <c r="C1360">
        <v>0.7</v>
      </c>
      <c r="D1360">
        <v>45</v>
      </c>
      <c r="E1360">
        <v>0.47423700000000002</v>
      </c>
      <c r="F1360">
        <v>32.308800000000005</v>
      </c>
      <c r="G1360">
        <f t="shared" si="84"/>
        <v>8.123221451724028</v>
      </c>
      <c r="H1360">
        <f t="shared" si="85"/>
        <v>5.488854166666667</v>
      </c>
      <c r="I1360">
        <f t="shared" si="86"/>
        <v>5.8380410138806518</v>
      </c>
    </row>
    <row r="1361" spans="1:9" x14ac:dyDescent="0.25">
      <c r="A1361" t="s">
        <v>314</v>
      </c>
      <c r="B1361" t="str">
        <f t="shared" si="83"/>
        <v>X100-51L180.750</v>
      </c>
      <c r="C1361">
        <v>0.7</v>
      </c>
      <c r="D1361">
        <v>50</v>
      </c>
      <c r="E1361">
        <v>0.50149200000000005</v>
      </c>
      <c r="F1361">
        <v>33.527999999999999</v>
      </c>
      <c r="G1361">
        <f t="shared" si="84"/>
        <v>8.4426001046298964</v>
      </c>
      <c r="H1361">
        <f t="shared" si="85"/>
        <v>5.8043055555555556</v>
      </c>
      <c r="I1361">
        <f t="shared" si="86"/>
        <v>5.9400184041049551</v>
      </c>
    </row>
    <row r="1362" spans="1:9" x14ac:dyDescent="0.25">
      <c r="A1362" t="s">
        <v>314</v>
      </c>
      <c r="B1362" t="str">
        <f t="shared" si="83"/>
        <v>X100-51L180.755</v>
      </c>
      <c r="C1362">
        <v>0.7</v>
      </c>
      <c r="D1362">
        <v>55</v>
      </c>
      <c r="E1362">
        <v>0.52874699999999997</v>
      </c>
      <c r="F1362">
        <v>34.442399999999999</v>
      </c>
      <c r="G1362">
        <f t="shared" si="84"/>
        <v>8.6827470076760207</v>
      </c>
      <c r="H1362">
        <f t="shared" si="85"/>
        <v>6.1197569444444442</v>
      </c>
      <c r="I1362">
        <f t="shared" si="86"/>
        <v>6.0896280812116128</v>
      </c>
    </row>
    <row r="1363" spans="1:9" x14ac:dyDescent="0.25">
      <c r="A1363" t="s">
        <v>314</v>
      </c>
      <c r="B1363" t="str">
        <f t="shared" si="83"/>
        <v>X100-51L180.760</v>
      </c>
      <c r="C1363">
        <v>0.7</v>
      </c>
      <c r="D1363">
        <v>60</v>
      </c>
      <c r="E1363">
        <v>0.55055100000000001</v>
      </c>
      <c r="F1363">
        <v>35.6616</v>
      </c>
      <c r="G1363">
        <f t="shared" si="84"/>
        <v>9.0037600962264648</v>
      </c>
      <c r="H1363">
        <f t="shared" si="85"/>
        <v>6.3721180555555552</v>
      </c>
      <c r="I1363">
        <f t="shared" si="86"/>
        <v>6.1146786910808473</v>
      </c>
    </row>
    <row r="1364" spans="1:9" x14ac:dyDescent="0.25">
      <c r="A1364" t="s">
        <v>314</v>
      </c>
      <c r="B1364" t="str">
        <f t="shared" si="83"/>
        <v>X100-51L180.765</v>
      </c>
      <c r="C1364">
        <v>0.7</v>
      </c>
      <c r="D1364">
        <v>65</v>
      </c>
      <c r="E1364">
        <v>0.57235500000000006</v>
      </c>
      <c r="F1364">
        <v>36.880800000000001</v>
      </c>
      <c r="G1364">
        <f t="shared" si="84"/>
        <v>9.3257071480023868</v>
      </c>
      <c r="H1364">
        <f t="shared" si="85"/>
        <v>6.6244791666666671</v>
      </c>
      <c r="I1364">
        <f t="shared" si="86"/>
        <v>6.1373898077273568</v>
      </c>
    </row>
    <row r="1365" spans="1:9" x14ac:dyDescent="0.25">
      <c r="A1365" t="s">
        <v>314</v>
      </c>
      <c r="B1365" t="str">
        <f t="shared" si="83"/>
        <v>X100-51L180.770</v>
      </c>
      <c r="C1365">
        <v>0.7</v>
      </c>
      <c r="D1365">
        <v>70</v>
      </c>
      <c r="E1365">
        <v>0.59960999999999998</v>
      </c>
      <c r="F1365">
        <v>38.1</v>
      </c>
      <c r="G1365">
        <f t="shared" si="84"/>
        <v>9.6485881630037866</v>
      </c>
      <c r="H1365">
        <f t="shared" si="85"/>
        <v>6.9399305555555548</v>
      </c>
      <c r="I1365">
        <f t="shared" si="86"/>
        <v>6.2144843356370405</v>
      </c>
    </row>
    <row r="1366" spans="1:9" x14ac:dyDescent="0.25">
      <c r="A1366" t="s">
        <v>314</v>
      </c>
      <c r="B1366" t="str">
        <f t="shared" si="83"/>
        <v>X100-51L180.775</v>
      </c>
      <c r="C1366">
        <v>0.7</v>
      </c>
      <c r="D1366">
        <v>75</v>
      </c>
      <c r="E1366">
        <v>0.62141400000000002</v>
      </c>
      <c r="F1366">
        <v>38.709600000000002</v>
      </c>
      <c r="G1366">
        <f t="shared" si="84"/>
        <v>9.8103789067140283</v>
      </c>
      <c r="H1366">
        <f t="shared" si="85"/>
        <v>7.1922916666666667</v>
      </c>
      <c r="I1366">
        <f t="shared" si="86"/>
        <v>6.3342507553374592</v>
      </c>
    </row>
    <row r="1367" spans="1:9" x14ac:dyDescent="0.25">
      <c r="A1367" t="s">
        <v>314</v>
      </c>
      <c r="B1367" t="str">
        <f t="shared" si="83"/>
        <v>X100-51L180.780</v>
      </c>
      <c r="C1367">
        <v>0.7</v>
      </c>
      <c r="D1367">
        <v>80</v>
      </c>
      <c r="E1367">
        <v>0.64321800000000007</v>
      </c>
      <c r="F1367">
        <v>39.624000000000002</v>
      </c>
      <c r="G1367">
        <f t="shared" si="84"/>
        <v>10.053502817541336</v>
      </c>
      <c r="H1367">
        <f t="shared" si="85"/>
        <v>7.4446527777777778</v>
      </c>
      <c r="I1367">
        <f t="shared" si="86"/>
        <v>6.3979491692956438</v>
      </c>
    </row>
    <row r="1368" spans="1:9" x14ac:dyDescent="0.25">
      <c r="A1368" t="s">
        <v>314</v>
      </c>
      <c r="B1368" t="str">
        <f t="shared" si="83"/>
        <v>X100-51L180.785</v>
      </c>
      <c r="C1368">
        <v>0.7</v>
      </c>
      <c r="D1368">
        <v>85</v>
      </c>
      <c r="E1368">
        <v>0.65412000000000003</v>
      </c>
      <c r="F1368">
        <v>40.843200000000003</v>
      </c>
      <c r="G1368">
        <f t="shared" si="84"/>
        <v>10.378485249800043</v>
      </c>
      <c r="H1368">
        <f t="shared" si="85"/>
        <v>7.5708333333333337</v>
      </c>
      <c r="I1368">
        <f t="shared" si="86"/>
        <v>6.302653848379296</v>
      </c>
    </row>
    <row r="1369" spans="1:9" x14ac:dyDescent="0.25">
      <c r="A1369" t="s">
        <v>314</v>
      </c>
      <c r="B1369" t="str">
        <f t="shared" si="83"/>
        <v>X100-51L180.790</v>
      </c>
      <c r="C1369">
        <v>0.7</v>
      </c>
      <c r="D1369">
        <v>90</v>
      </c>
      <c r="E1369">
        <v>0.67592399999999997</v>
      </c>
      <c r="F1369">
        <v>41.757600000000004</v>
      </c>
      <c r="G1369">
        <f t="shared" si="84"/>
        <v>10.622834987360797</v>
      </c>
      <c r="H1369">
        <f t="shared" si="85"/>
        <v>7.8231944444444439</v>
      </c>
      <c r="I1369">
        <f t="shared" si="86"/>
        <v>6.3629341960429979</v>
      </c>
    </row>
    <row r="1370" spans="1:9" x14ac:dyDescent="0.25">
      <c r="A1370" t="s">
        <v>314</v>
      </c>
      <c r="B1370" t="str">
        <f t="shared" si="83"/>
        <v>X100-51L180.795</v>
      </c>
      <c r="C1370">
        <v>0.7</v>
      </c>
      <c r="D1370">
        <v>95</v>
      </c>
      <c r="E1370">
        <v>0.703179</v>
      </c>
      <c r="F1370">
        <v>42.976800000000004</v>
      </c>
      <c r="G1370">
        <f t="shared" si="84"/>
        <v>10.94945185526408</v>
      </c>
      <c r="H1370">
        <f t="shared" si="85"/>
        <v>8.1386458333333334</v>
      </c>
      <c r="I1370">
        <f t="shared" si="86"/>
        <v>6.4220475079027661</v>
      </c>
    </row>
    <row r="1371" spans="1:9" x14ac:dyDescent="0.25">
      <c r="A1371" t="s">
        <v>314</v>
      </c>
      <c r="B1371" t="str">
        <f t="shared" si="83"/>
        <v>X100-51L180.7100</v>
      </c>
      <c r="C1371">
        <v>0.7</v>
      </c>
      <c r="D1371">
        <v>100</v>
      </c>
      <c r="E1371">
        <v>0.72498300000000004</v>
      </c>
      <c r="F1371">
        <v>44.500800000000005</v>
      </c>
      <c r="G1371">
        <f t="shared" si="84"/>
        <v>11.359036325928997</v>
      </c>
      <c r="H1371">
        <f t="shared" si="85"/>
        <v>8.3910069444444453</v>
      </c>
      <c r="I1371">
        <f t="shared" si="86"/>
        <v>6.3824340304740366</v>
      </c>
    </row>
    <row r="1372" spans="1:9" x14ac:dyDescent="0.25">
      <c r="A1372" t="s">
        <v>314</v>
      </c>
      <c r="B1372" t="str">
        <f t="shared" si="83"/>
        <v>X100-51L180.7540</v>
      </c>
      <c r="C1372">
        <v>0.75</v>
      </c>
      <c r="D1372">
        <v>40</v>
      </c>
      <c r="E1372">
        <v>0.517845</v>
      </c>
      <c r="F1372">
        <v>32.613599999999998</v>
      </c>
      <c r="G1372">
        <f t="shared" si="84"/>
        <v>8.2029785558981061</v>
      </c>
      <c r="H1372">
        <f t="shared" si="85"/>
        <v>5.9935763888888882</v>
      </c>
      <c r="I1372">
        <f t="shared" si="86"/>
        <v>6.3128898420398665</v>
      </c>
    </row>
    <row r="1373" spans="1:9" x14ac:dyDescent="0.25">
      <c r="A1373" t="s">
        <v>314</v>
      </c>
      <c r="B1373" t="str">
        <f t="shared" si="83"/>
        <v>X100-51L180.7545</v>
      </c>
      <c r="C1373">
        <v>0.75</v>
      </c>
      <c r="D1373">
        <v>45</v>
      </c>
      <c r="E1373">
        <v>0.55055100000000001</v>
      </c>
      <c r="F1373">
        <v>33.527999999999999</v>
      </c>
      <c r="G1373">
        <f t="shared" si="84"/>
        <v>8.4426001046298964</v>
      </c>
      <c r="H1373">
        <f t="shared" si="85"/>
        <v>6.3721180555555552</v>
      </c>
      <c r="I1373">
        <f t="shared" si="86"/>
        <v>6.5211071610282652</v>
      </c>
    </row>
    <row r="1374" spans="1:9" x14ac:dyDescent="0.25">
      <c r="A1374" t="s">
        <v>314</v>
      </c>
      <c r="B1374" t="str">
        <f t="shared" si="83"/>
        <v>X100-51L180.7550</v>
      </c>
      <c r="C1374">
        <v>0.75</v>
      </c>
      <c r="D1374">
        <v>50</v>
      </c>
      <c r="E1374">
        <v>0.57235500000000006</v>
      </c>
      <c r="F1374">
        <v>34.747199999999999</v>
      </c>
      <c r="G1374">
        <f t="shared" si="84"/>
        <v>8.7629127207612498</v>
      </c>
      <c r="H1374">
        <f t="shared" si="85"/>
        <v>6.6244791666666671</v>
      </c>
      <c r="I1374">
        <f t="shared" si="86"/>
        <v>6.5315611171610364</v>
      </c>
    </row>
    <row r="1375" spans="1:9" x14ac:dyDescent="0.25">
      <c r="A1375" t="s">
        <v>314</v>
      </c>
      <c r="B1375" t="str">
        <f t="shared" si="83"/>
        <v>X100-51L180.7555</v>
      </c>
      <c r="C1375">
        <v>0.75</v>
      </c>
      <c r="D1375">
        <v>55</v>
      </c>
      <c r="E1375">
        <v>0.60506099999999996</v>
      </c>
      <c r="F1375">
        <v>35.6616</v>
      </c>
      <c r="G1375">
        <f t="shared" si="84"/>
        <v>9.0037600962264648</v>
      </c>
      <c r="H1375">
        <f t="shared" si="85"/>
        <v>7.0030208333333324</v>
      </c>
      <c r="I1375">
        <f t="shared" si="86"/>
        <v>6.7200924228710299</v>
      </c>
    </row>
    <row r="1376" spans="1:9" x14ac:dyDescent="0.25">
      <c r="A1376" t="s">
        <v>314</v>
      </c>
      <c r="B1376" t="str">
        <f t="shared" si="83"/>
        <v>X100-51L180.7560</v>
      </c>
      <c r="C1376">
        <v>0.75</v>
      </c>
      <c r="D1376">
        <v>60</v>
      </c>
      <c r="E1376">
        <v>0.63231599999999999</v>
      </c>
      <c r="F1376">
        <v>36.2712</v>
      </c>
      <c r="G1376">
        <f t="shared" si="84"/>
        <v>9.1646168767112357</v>
      </c>
      <c r="H1376">
        <f t="shared" si="85"/>
        <v>7.3184722222222218</v>
      </c>
      <c r="I1376">
        <f t="shared" si="86"/>
        <v>6.899535556219667</v>
      </c>
    </row>
    <row r="1377" spans="1:9" x14ac:dyDescent="0.25">
      <c r="A1377" t="s">
        <v>314</v>
      </c>
      <c r="B1377" t="str">
        <f t="shared" si="83"/>
        <v>X100-51L180.7565</v>
      </c>
      <c r="C1377">
        <v>0.75</v>
      </c>
      <c r="D1377">
        <v>65</v>
      </c>
      <c r="E1377">
        <v>0.65412000000000003</v>
      </c>
      <c r="F1377">
        <v>37.490400000000001</v>
      </c>
      <c r="G1377">
        <f t="shared" si="84"/>
        <v>9.4870309100998966</v>
      </c>
      <c r="H1377">
        <f t="shared" si="85"/>
        <v>7.5708333333333337</v>
      </c>
      <c r="I1377">
        <f t="shared" si="86"/>
        <v>6.8948863580029416</v>
      </c>
    </row>
    <row r="1378" spans="1:9" x14ac:dyDescent="0.25">
      <c r="A1378" t="s">
        <v>314</v>
      </c>
      <c r="B1378" t="str">
        <f t="shared" si="83"/>
        <v>X100-51L180.7570</v>
      </c>
      <c r="C1378">
        <v>0.75</v>
      </c>
      <c r="D1378">
        <v>70</v>
      </c>
      <c r="E1378">
        <v>0.68137500000000006</v>
      </c>
      <c r="F1378">
        <v>38.404800000000002</v>
      </c>
      <c r="G1378">
        <f t="shared" si="84"/>
        <v>9.7294543485080993</v>
      </c>
      <c r="H1378">
        <f t="shared" si="85"/>
        <v>7.8862847222222223</v>
      </c>
      <c r="I1378">
        <f t="shared" si="86"/>
        <v>7.003219045932223</v>
      </c>
    </row>
    <row r="1379" spans="1:9" x14ac:dyDescent="0.25">
      <c r="A1379" t="s">
        <v>314</v>
      </c>
      <c r="B1379" t="str">
        <f t="shared" si="83"/>
        <v>X100-51L180.7575</v>
      </c>
      <c r="C1379">
        <v>0.75</v>
      </c>
      <c r="D1379">
        <v>75</v>
      </c>
      <c r="E1379">
        <v>0.70862999999999998</v>
      </c>
      <c r="F1379">
        <v>39.624000000000002</v>
      </c>
      <c r="G1379">
        <f t="shared" si="84"/>
        <v>10.053502817541336</v>
      </c>
      <c r="H1379">
        <f t="shared" si="85"/>
        <v>8.20173611111111</v>
      </c>
      <c r="I1379">
        <f t="shared" si="86"/>
        <v>7.0485880678680823</v>
      </c>
    </row>
    <row r="1380" spans="1:9" x14ac:dyDescent="0.25">
      <c r="A1380" t="s">
        <v>314</v>
      </c>
      <c r="B1380" t="str">
        <f t="shared" si="83"/>
        <v>X100-51L180.7580</v>
      </c>
      <c r="C1380">
        <v>0.75</v>
      </c>
      <c r="D1380">
        <v>80</v>
      </c>
      <c r="E1380">
        <v>0.72498300000000004</v>
      </c>
      <c r="F1380">
        <v>40.843200000000003</v>
      </c>
      <c r="G1380">
        <f t="shared" si="84"/>
        <v>10.378485249800043</v>
      </c>
      <c r="H1380">
        <f t="shared" si="85"/>
        <v>8.3910069444444453</v>
      </c>
      <c r="I1380">
        <f t="shared" si="86"/>
        <v>6.9854413486203875</v>
      </c>
    </row>
    <row r="1381" spans="1:9" x14ac:dyDescent="0.25">
      <c r="A1381" t="s">
        <v>314</v>
      </c>
      <c r="B1381" t="str">
        <f t="shared" si="83"/>
        <v>X100-51L180.7585</v>
      </c>
      <c r="C1381">
        <v>0.75</v>
      </c>
      <c r="D1381">
        <v>85</v>
      </c>
      <c r="E1381">
        <v>0.74678699999999998</v>
      </c>
      <c r="F1381">
        <v>42.062400000000004</v>
      </c>
      <c r="G1381">
        <f t="shared" si="84"/>
        <v>10.704401645284221</v>
      </c>
      <c r="H1381">
        <f t="shared" si="85"/>
        <v>8.6433680555555554</v>
      </c>
      <c r="I1381">
        <f t="shared" si="86"/>
        <v>6.9764478645940358</v>
      </c>
    </row>
    <row r="1382" spans="1:9" x14ac:dyDescent="0.25">
      <c r="A1382" t="s">
        <v>314</v>
      </c>
      <c r="B1382" t="str">
        <f t="shared" ref="B1382:B1445" si="87">A1382&amp;C1382&amp;D1382</f>
        <v>X100-51L180.7590</v>
      </c>
      <c r="C1382">
        <v>0.75</v>
      </c>
      <c r="D1382">
        <v>90</v>
      </c>
      <c r="E1382">
        <v>0.77404200000000001</v>
      </c>
      <c r="F1382">
        <v>43.586400000000005</v>
      </c>
      <c r="G1382">
        <f t="shared" si="84"/>
        <v>11.113110525425263</v>
      </c>
      <c r="H1382">
        <f t="shared" si="85"/>
        <v>8.958819444444444</v>
      </c>
      <c r="I1382">
        <f t="shared" si="86"/>
        <v>6.9651246447076973</v>
      </c>
    </row>
    <row r="1383" spans="1:9" x14ac:dyDescent="0.25">
      <c r="A1383" t="s">
        <v>314</v>
      </c>
      <c r="B1383" t="str">
        <f t="shared" si="87"/>
        <v>X100-51L180.7595</v>
      </c>
      <c r="C1383">
        <v>0.75</v>
      </c>
      <c r="D1383">
        <v>95</v>
      </c>
      <c r="E1383">
        <v>0.79584600000000005</v>
      </c>
      <c r="F1383">
        <v>44.805600000000005</v>
      </c>
      <c r="G1383">
        <f t="shared" si="84"/>
        <v>11.441128338166763</v>
      </c>
      <c r="H1383">
        <f t="shared" si="85"/>
        <v>9.2111805555555559</v>
      </c>
      <c r="I1383">
        <f t="shared" si="86"/>
        <v>6.9560097262882401</v>
      </c>
    </row>
    <row r="1384" spans="1:9" x14ac:dyDescent="0.25">
      <c r="A1384" t="s">
        <v>314</v>
      </c>
      <c r="B1384" t="str">
        <f t="shared" si="87"/>
        <v>X100-51L180.75100</v>
      </c>
      <c r="C1384">
        <v>0.75</v>
      </c>
      <c r="D1384">
        <v>100</v>
      </c>
      <c r="E1384">
        <v>0.81764999999999999</v>
      </c>
      <c r="F1384">
        <v>46.024799999999999</v>
      </c>
      <c r="G1384">
        <f t="shared" si="84"/>
        <v>11.770080114133719</v>
      </c>
      <c r="H1384">
        <f t="shared" si="85"/>
        <v>9.4635416666666661</v>
      </c>
      <c r="I1384">
        <f t="shared" si="86"/>
        <v>6.9468516107902403</v>
      </c>
    </row>
    <row r="1385" spans="1:9" x14ac:dyDescent="0.25">
      <c r="A1385" t="s">
        <v>314</v>
      </c>
      <c r="B1385" t="str">
        <f t="shared" si="87"/>
        <v>X100-51L180.840</v>
      </c>
      <c r="C1385">
        <v>0.8</v>
      </c>
      <c r="D1385">
        <v>40</v>
      </c>
      <c r="E1385">
        <v>0.58870800000000001</v>
      </c>
      <c r="F1385">
        <v>33.832799999999999</v>
      </c>
      <c r="G1385">
        <f t="shared" si="84"/>
        <v>8.5225906996103404</v>
      </c>
      <c r="H1385">
        <f t="shared" si="85"/>
        <v>6.8137499999999998</v>
      </c>
      <c r="I1385">
        <f t="shared" si="86"/>
        <v>6.9076178916689752</v>
      </c>
    </row>
    <row r="1386" spans="1:9" x14ac:dyDescent="0.25">
      <c r="A1386" t="s">
        <v>314</v>
      </c>
      <c r="B1386" t="str">
        <f t="shared" si="87"/>
        <v>X100-51L180.845</v>
      </c>
      <c r="C1386">
        <v>0.8</v>
      </c>
      <c r="D1386">
        <v>45</v>
      </c>
      <c r="E1386">
        <v>0.62141400000000002</v>
      </c>
      <c r="F1386">
        <v>35.052</v>
      </c>
      <c r="G1386">
        <f t="shared" si="84"/>
        <v>8.8431368065480598</v>
      </c>
      <c r="H1386">
        <f t="shared" si="85"/>
        <v>7.1922916666666667</v>
      </c>
      <c r="I1386">
        <f t="shared" si="86"/>
        <v>7.0270766312227897</v>
      </c>
    </row>
    <row r="1387" spans="1:9" x14ac:dyDescent="0.25">
      <c r="A1387" t="s">
        <v>314</v>
      </c>
      <c r="B1387" t="str">
        <f t="shared" si="87"/>
        <v>X100-51L180.850</v>
      </c>
      <c r="C1387">
        <v>0.8</v>
      </c>
      <c r="D1387">
        <v>50</v>
      </c>
      <c r="E1387">
        <v>0.64866900000000005</v>
      </c>
      <c r="F1387">
        <v>35.9664</v>
      </c>
      <c r="G1387">
        <f t="shared" si="84"/>
        <v>9.0841593001180527</v>
      </c>
      <c r="H1387">
        <f t="shared" si="85"/>
        <v>7.5077430555555553</v>
      </c>
      <c r="I1387">
        <f t="shared" si="86"/>
        <v>7.1406607762984766</v>
      </c>
    </row>
    <row r="1388" spans="1:9" x14ac:dyDescent="0.25">
      <c r="A1388" t="s">
        <v>314</v>
      </c>
      <c r="B1388" t="str">
        <f t="shared" si="87"/>
        <v>X100-51L180.855</v>
      </c>
      <c r="C1388">
        <v>0.8</v>
      </c>
      <c r="D1388">
        <v>55</v>
      </c>
      <c r="E1388">
        <v>0.68137500000000006</v>
      </c>
      <c r="F1388">
        <v>37.185600000000001</v>
      </c>
      <c r="G1388">
        <f t="shared" si="84"/>
        <v>9.4063398427003477</v>
      </c>
      <c r="H1388">
        <f t="shared" si="85"/>
        <v>7.8862847222222223</v>
      </c>
      <c r="I1388">
        <f t="shared" si="86"/>
        <v>7.2437846324335293</v>
      </c>
    </row>
    <row r="1389" spans="1:9" x14ac:dyDescent="0.25">
      <c r="A1389" t="s">
        <v>314</v>
      </c>
      <c r="B1389" t="str">
        <f t="shared" si="87"/>
        <v>X100-51L180.860</v>
      </c>
      <c r="C1389">
        <v>0.8</v>
      </c>
      <c r="D1389">
        <v>60</v>
      </c>
      <c r="E1389">
        <v>0.71953200000000006</v>
      </c>
      <c r="F1389">
        <v>38.1</v>
      </c>
      <c r="G1389">
        <f t="shared" si="84"/>
        <v>9.6485881630037866</v>
      </c>
      <c r="H1389">
        <f t="shared" si="85"/>
        <v>8.3279166666666669</v>
      </c>
      <c r="I1389">
        <f t="shared" si="86"/>
        <v>7.4573812027644486</v>
      </c>
    </row>
    <row r="1390" spans="1:9" x14ac:dyDescent="0.25">
      <c r="A1390" t="s">
        <v>314</v>
      </c>
      <c r="B1390" t="str">
        <f t="shared" si="87"/>
        <v>X100-51L180.865</v>
      </c>
      <c r="C1390">
        <v>0.8</v>
      </c>
      <c r="D1390">
        <v>65</v>
      </c>
      <c r="E1390">
        <v>0.74678699999999998</v>
      </c>
      <c r="F1390">
        <v>39.319200000000002</v>
      </c>
      <c r="G1390">
        <f t="shared" si="84"/>
        <v>9.9724031412306431</v>
      </c>
      <c r="H1390">
        <f t="shared" si="85"/>
        <v>8.6433680555555554</v>
      </c>
      <c r="I1390">
        <f t="shared" si="86"/>
        <v>7.4885360070576015</v>
      </c>
    </row>
    <row r="1391" spans="1:9" x14ac:dyDescent="0.25">
      <c r="A1391" t="s">
        <v>314</v>
      </c>
      <c r="B1391" t="str">
        <f t="shared" si="87"/>
        <v>X100-51L180.870</v>
      </c>
      <c r="C1391">
        <v>0.8</v>
      </c>
      <c r="D1391">
        <v>70</v>
      </c>
      <c r="E1391">
        <v>0.77404200000000001</v>
      </c>
      <c r="F1391">
        <v>40.538400000000003</v>
      </c>
      <c r="G1391">
        <f t="shared" si="84"/>
        <v>10.297152082682977</v>
      </c>
      <c r="H1391">
        <f t="shared" si="85"/>
        <v>8.958819444444444</v>
      </c>
      <c r="I1391">
        <f t="shared" si="86"/>
        <v>7.5170493140693644</v>
      </c>
    </row>
    <row r="1392" spans="1:9" x14ac:dyDescent="0.25">
      <c r="A1392" t="s">
        <v>314</v>
      </c>
      <c r="B1392" t="str">
        <f t="shared" si="87"/>
        <v>X100-51L180.875</v>
      </c>
      <c r="C1392">
        <v>0.8</v>
      </c>
      <c r="D1392">
        <v>75</v>
      </c>
      <c r="E1392">
        <v>0.80674800000000002</v>
      </c>
      <c r="F1392">
        <v>41.452800000000003</v>
      </c>
      <c r="G1392">
        <f t="shared" si="84"/>
        <v>10.541326702138953</v>
      </c>
      <c r="H1392">
        <f t="shared" si="85"/>
        <v>9.337361111111111</v>
      </c>
      <c r="I1392">
        <f t="shared" si="86"/>
        <v>7.6531922669307066</v>
      </c>
    </row>
    <row r="1393" spans="1:9" x14ac:dyDescent="0.25">
      <c r="A1393" t="s">
        <v>314</v>
      </c>
      <c r="B1393" t="str">
        <f t="shared" si="87"/>
        <v>X100-51L180.880</v>
      </c>
      <c r="C1393">
        <v>0.8</v>
      </c>
      <c r="D1393">
        <v>80</v>
      </c>
      <c r="E1393">
        <v>0.82855200000000007</v>
      </c>
      <c r="F1393">
        <v>42.062400000000004</v>
      </c>
      <c r="G1393">
        <f t="shared" si="84"/>
        <v>10.704401645284221</v>
      </c>
      <c r="H1393">
        <f t="shared" si="85"/>
        <v>9.5897222222222229</v>
      </c>
      <c r="I1393">
        <f t="shared" si="86"/>
        <v>7.7402925213014129</v>
      </c>
    </row>
    <row r="1394" spans="1:9" x14ac:dyDescent="0.25">
      <c r="A1394" t="s">
        <v>314</v>
      </c>
      <c r="B1394" t="str">
        <f t="shared" si="87"/>
        <v>X100-51L180.885</v>
      </c>
      <c r="C1394">
        <v>0.8</v>
      </c>
      <c r="D1394">
        <v>85</v>
      </c>
      <c r="E1394">
        <v>0.85580699999999998</v>
      </c>
      <c r="F1394">
        <v>42.976800000000004</v>
      </c>
      <c r="G1394">
        <f t="shared" si="84"/>
        <v>10.94945185526408</v>
      </c>
      <c r="H1394">
        <f t="shared" si="85"/>
        <v>9.9051736111111097</v>
      </c>
      <c r="I1394">
        <f t="shared" si="86"/>
        <v>7.8159803003157693</v>
      </c>
    </row>
    <row r="1395" spans="1:9" x14ac:dyDescent="0.25">
      <c r="A1395" t="s">
        <v>314</v>
      </c>
      <c r="B1395" t="str">
        <f t="shared" si="87"/>
        <v>X100-51L180.890</v>
      </c>
      <c r="C1395">
        <v>0.8</v>
      </c>
      <c r="D1395">
        <v>90</v>
      </c>
      <c r="E1395">
        <v>0.88306200000000001</v>
      </c>
      <c r="F1395">
        <v>44.196000000000005</v>
      </c>
      <c r="G1395">
        <f t="shared" si="84"/>
        <v>11.277002686392827</v>
      </c>
      <c r="H1395">
        <f t="shared" si="85"/>
        <v>10.220625</v>
      </c>
      <c r="I1395">
        <f t="shared" si="86"/>
        <v>7.8306445831171914</v>
      </c>
    </row>
    <row r="1396" spans="1:9" x14ac:dyDescent="0.25">
      <c r="A1396" t="s">
        <v>314</v>
      </c>
      <c r="B1396" t="str">
        <f t="shared" si="87"/>
        <v>X100-51L180.895</v>
      </c>
      <c r="C1396">
        <v>0.8</v>
      </c>
      <c r="D1396">
        <v>95</v>
      </c>
      <c r="E1396">
        <v>0.91031700000000004</v>
      </c>
      <c r="F1396">
        <v>45.415200000000006</v>
      </c>
      <c r="G1396">
        <f t="shared" si="84"/>
        <v>11.605487480747058</v>
      </c>
      <c r="H1396">
        <f t="shared" si="85"/>
        <v>10.536076388888889</v>
      </c>
      <c r="I1396">
        <f t="shared" si="86"/>
        <v>7.8438497435818348</v>
      </c>
    </row>
    <row r="1397" spans="1:9" x14ac:dyDescent="0.25">
      <c r="A1397" t="s">
        <v>314</v>
      </c>
      <c r="B1397" t="str">
        <f t="shared" si="87"/>
        <v>X100-51L180.8100</v>
      </c>
      <c r="C1397">
        <v>0.8</v>
      </c>
      <c r="D1397">
        <v>100</v>
      </c>
      <c r="E1397">
        <v>0.93757200000000007</v>
      </c>
      <c r="F1397">
        <v>46.329599999999999</v>
      </c>
      <c r="G1397">
        <f t="shared" si="84"/>
        <v>11.852463989879446</v>
      </c>
      <c r="H1397">
        <f t="shared" si="85"/>
        <v>10.851527777777777</v>
      </c>
      <c r="I1397">
        <f t="shared" si="86"/>
        <v>7.9103551869094204</v>
      </c>
    </row>
    <row r="1398" spans="1:9" x14ac:dyDescent="0.25">
      <c r="A1398" t="s">
        <v>314</v>
      </c>
      <c r="B1398" t="str">
        <f t="shared" si="87"/>
        <v>X100-51L180.8540</v>
      </c>
      <c r="C1398">
        <v>0.85</v>
      </c>
      <c r="D1398">
        <v>40</v>
      </c>
      <c r="E1398">
        <v>0.67047299999999999</v>
      </c>
      <c r="F1398">
        <v>36.2712</v>
      </c>
      <c r="G1398">
        <f t="shared" si="84"/>
        <v>9.1646168767112357</v>
      </c>
      <c r="H1398">
        <f t="shared" si="85"/>
        <v>7.7601041666666664</v>
      </c>
      <c r="I1398">
        <f t="shared" si="86"/>
        <v>7.3158868397846462</v>
      </c>
    </row>
    <row r="1399" spans="1:9" x14ac:dyDescent="0.25">
      <c r="A1399" t="s">
        <v>314</v>
      </c>
      <c r="B1399" t="str">
        <f t="shared" si="87"/>
        <v>X100-51L180.8545</v>
      </c>
      <c r="C1399">
        <v>0.85</v>
      </c>
      <c r="D1399">
        <v>45</v>
      </c>
      <c r="E1399">
        <v>0.71408099999999997</v>
      </c>
      <c r="F1399">
        <v>37.795200000000001</v>
      </c>
      <c r="G1399">
        <f t="shared" si="84"/>
        <v>9.5677803502010477</v>
      </c>
      <c r="H1399">
        <f t="shared" si="85"/>
        <v>8.2648263888888884</v>
      </c>
      <c r="I1399">
        <f t="shared" si="86"/>
        <v>7.4633924887813192</v>
      </c>
    </row>
    <row r="1400" spans="1:9" x14ac:dyDescent="0.25">
      <c r="A1400" t="s">
        <v>314</v>
      </c>
      <c r="B1400" t="str">
        <f t="shared" si="87"/>
        <v>X100-51L180.8550</v>
      </c>
      <c r="C1400">
        <v>0.85</v>
      </c>
      <c r="D1400">
        <v>50</v>
      </c>
      <c r="E1400">
        <v>0.75223799999999996</v>
      </c>
      <c r="F1400">
        <v>38.709600000000002</v>
      </c>
      <c r="G1400">
        <f t="shared" si="84"/>
        <v>9.8103789067140283</v>
      </c>
      <c r="H1400">
        <f t="shared" si="85"/>
        <v>8.7064583333333321</v>
      </c>
      <c r="I1400">
        <f t="shared" si="86"/>
        <v>7.6677772301453437</v>
      </c>
    </row>
    <row r="1401" spans="1:9" x14ac:dyDescent="0.25">
      <c r="A1401" t="s">
        <v>314</v>
      </c>
      <c r="B1401" t="str">
        <f t="shared" si="87"/>
        <v>X100-51L180.8555</v>
      </c>
      <c r="C1401">
        <v>0.85</v>
      </c>
      <c r="D1401">
        <v>55</v>
      </c>
      <c r="E1401">
        <v>0.79039500000000007</v>
      </c>
      <c r="F1401">
        <v>39.928800000000003</v>
      </c>
      <c r="G1401">
        <f t="shared" si="84"/>
        <v>10.134660866553624</v>
      </c>
      <c r="H1401">
        <f t="shared" si="85"/>
        <v>9.1480902777777775</v>
      </c>
      <c r="I1401">
        <f t="shared" si="86"/>
        <v>7.7989289469809417</v>
      </c>
    </row>
    <row r="1402" spans="1:9" x14ac:dyDescent="0.25">
      <c r="A1402" t="s">
        <v>314</v>
      </c>
      <c r="B1402" t="str">
        <f t="shared" si="87"/>
        <v>X100-51L180.8560</v>
      </c>
      <c r="C1402">
        <v>0.85</v>
      </c>
      <c r="D1402">
        <v>60</v>
      </c>
      <c r="E1402">
        <v>0.81764999999999999</v>
      </c>
      <c r="F1402">
        <v>40.843200000000003</v>
      </c>
      <c r="G1402">
        <f t="shared" si="84"/>
        <v>10.378485249800043</v>
      </c>
      <c r="H1402">
        <f t="shared" si="85"/>
        <v>9.4635416666666661</v>
      </c>
      <c r="I1402">
        <f t="shared" si="86"/>
        <v>7.8783173104741202</v>
      </c>
    </row>
    <row r="1403" spans="1:9" x14ac:dyDescent="0.25">
      <c r="A1403" t="s">
        <v>314</v>
      </c>
      <c r="B1403" t="str">
        <f t="shared" si="87"/>
        <v>X100-51L180.8565</v>
      </c>
      <c r="C1403">
        <v>0.85</v>
      </c>
      <c r="D1403">
        <v>65</v>
      </c>
      <c r="E1403">
        <v>0.85580699999999998</v>
      </c>
      <c r="F1403">
        <v>42.367200000000004</v>
      </c>
      <c r="G1403">
        <f t="shared" si="84"/>
        <v>10.786026675909241</v>
      </c>
      <c r="H1403">
        <f t="shared" si="85"/>
        <v>9.9051736111111097</v>
      </c>
      <c r="I1403">
        <f t="shared" si="86"/>
        <v>7.9344046303117182</v>
      </c>
    </row>
    <row r="1404" spans="1:9" x14ac:dyDescent="0.25">
      <c r="A1404" t="s">
        <v>314</v>
      </c>
      <c r="B1404" t="str">
        <f t="shared" si="87"/>
        <v>X100-51L180.8570</v>
      </c>
      <c r="C1404">
        <v>0.85</v>
      </c>
      <c r="D1404">
        <v>70</v>
      </c>
      <c r="E1404">
        <v>0.888513</v>
      </c>
      <c r="F1404">
        <v>42.976800000000004</v>
      </c>
      <c r="G1404">
        <f t="shared" si="84"/>
        <v>10.94945185526408</v>
      </c>
      <c r="H1404">
        <f t="shared" si="85"/>
        <v>10.283715277777777</v>
      </c>
      <c r="I1404">
        <f t="shared" si="86"/>
        <v>8.1146801844042695</v>
      </c>
    </row>
    <row r="1405" spans="1:9" x14ac:dyDescent="0.25">
      <c r="A1405" t="s">
        <v>314</v>
      </c>
      <c r="B1405" t="str">
        <f t="shared" si="87"/>
        <v>X100-51L180.8575</v>
      </c>
      <c r="C1405">
        <v>0.85</v>
      </c>
      <c r="D1405">
        <v>75</v>
      </c>
      <c r="E1405">
        <v>0.888513</v>
      </c>
      <c r="F1405">
        <v>42.976800000000004</v>
      </c>
      <c r="G1405">
        <f t="shared" si="84"/>
        <v>10.94945185526408</v>
      </c>
      <c r="H1405">
        <f t="shared" si="85"/>
        <v>10.283715277777777</v>
      </c>
      <c r="I1405">
        <f t="shared" si="86"/>
        <v>8.1146801844042695</v>
      </c>
    </row>
    <row r="1406" spans="1:9" x14ac:dyDescent="0.25">
      <c r="A1406" t="s">
        <v>314</v>
      </c>
      <c r="B1406" t="str">
        <f t="shared" si="87"/>
        <v>X100-51L180.8580</v>
      </c>
      <c r="C1406">
        <v>0.85</v>
      </c>
      <c r="D1406">
        <v>80</v>
      </c>
      <c r="E1406">
        <v>0.91576800000000003</v>
      </c>
      <c r="F1406">
        <v>43.891200000000005</v>
      </c>
      <c r="G1406">
        <f t="shared" si="84"/>
        <v>11.195027419558258</v>
      </c>
      <c r="H1406">
        <f t="shared" si="85"/>
        <v>10.599166666666667</v>
      </c>
      <c r="I1406">
        <f t="shared" si="86"/>
        <v>8.180131818168741</v>
      </c>
    </row>
    <row r="1407" spans="1:9" x14ac:dyDescent="0.25">
      <c r="A1407" t="s">
        <v>314</v>
      </c>
      <c r="B1407" t="str">
        <f t="shared" si="87"/>
        <v>X100-51L180.8585</v>
      </c>
      <c r="C1407">
        <v>0.85</v>
      </c>
      <c r="D1407">
        <v>85</v>
      </c>
      <c r="E1407">
        <v>0.94847400000000004</v>
      </c>
      <c r="F1407">
        <v>44.805600000000005</v>
      </c>
      <c r="G1407">
        <f t="shared" si="84"/>
        <v>11.441128338166763</v>
      </c>
      <c r="H1407">
        <f t="shared" si="85"/>
        <v>10.977708333333334</v>
      </c>
      <c r="I1407">
        <f t="shared" si="86"/>
        <v>8.2900389888640671</v>
      </c>
    </row>
    <row r="1408" spans="1:9" x14ac:dyDescent="0.25">
      <c r="A1408" t="s">
        <v>314</v>
      </c>
      <c r="B1408" t="str">
        <f t="shared" si="87"/>
        <v>X100-51L180.8590</v>
      </c>
      <c r="C1408">
        <v>0.85</v>
      </c>
      <c r="D1408">
        <v>90</v>
      </c>
      <c r="E1408">
        <v>0.98118000000000005</v>
      </c>
      <c r="F1408">
        <v>45.72</v>
      </c>
      <c r="G1408">
        <f t="shared" si="84"/>
        <v>11.687754611089588</v>
      </c>
      <c r="H1408">
        <f t="shared" si="85"/>
        <v>11.356249999999999</v>
      </c>
      <c r="I1408">
        <f t="shared" si="86"/>
        <v>8.3949401116706852</v>
      </c>
    </row>
    <row r="1409" spans="1:9" x14ac:dyDescent="0.25">
      <c r="A1409" t="s">
        <v>314</v>
      </c>
      <c r="B1409" t="str">
        <f t="shared" si="87"/>
        <v>X100-51L180.8595</v>
      </c>
      <c r="C1409">
        <v>0.85</v>
      </c>
      <c r="D1409">
        <v>95</v>
      </c>
      <c r="E1409">
        <v>1.008435</v>
      </c>
      <c r="F1409">
        <v>46.329599999999999</v>
      </c>
      <c r="G1409">
        <f t="shared" si="84"/>
        <v>11.852463989879446</v>
      </c>
      <c r="H1409">
        <f t="shared" si="85"/>
        <v>11.671701388888888</v>
      </c>
      <c r="I1409">
        <f t="shared" si="86"/>
        <v>8.5082308696409452</v>
      </c>
    </row>
    <row r="1410" spans="1:9" x14ac:dyDescent="0.25">
      <c r="A1410" t="s">
        <v>314</v>
      </c>
      <c r="B1410" t="str">
        <f t="shared" si="87"/>
        <v>X100-51L180.85100</v>
      </c>
      <c r="C1410">
        <v>0.85</v>
      </c>
      <c r="D1410">
        <v>100</v>
      </c>
      <c r="E1410">
        <v>1.0411410000000001</v>
      </c>
      <c r="F1410">
        <v>47.244</v>
      </c>
      <c r="G1410">
        <f t="shared" si="84"/>
        <v>12.099965853326161</v>
      </c>
      <c r="H1410">
        <f t="shared" si="85"/>
        <v>12.050243055555557</v>
      </c>
      <c r="I1410">
        <f t="shared" si="86"/>
        <v>8.6044953566030156</v>
      </c>
    </row>
    <row r="1411" spans="1:9" x14ac:dyDescent="0.25">
      <c r="A1411" t="s">
        <v>314</v>
      </c>
      <c r="B1411" t="str">
        <f t="shared" si="87"/>
        <v>X100-51L180.940</v>
      </c>
      <c r="C1411">
        <v>0.9</v>
      </c>
      <c r="D1411">
        <v>40</v>
      </c>
      <c r="E1411">
        <v>0.75768900000000006</v>
      </c>
      <c r="F1411">
        <v>37.185600000000001</v>
      </c>
      <c r="G1411">
        <f t="shared" ref="G1411:G1474" si="88">(PI()*(G$1+F1411)^2)/10000-((PI()*(G$1)^2)/10000)</f>
        <v>9.4063398427003477</v>
      </c>
      <c r="H1411">
        <f t="shared" ref="H1411:H1474" si="89">E1411/0.0864</f>
        <v>8.7695486111111105</v>
      </c>
      <c r="I1411">
        <f t="shared" ref="I1411:I1474" si="90">E1411/G1411*100</f>
        <v>8.055088511266085</v>
      </c>
    </row>
    <row r="1412" spans="1:9" x14ac:dyDescent="0.25">
      <c r="A1412" t="s">
        <v>314</v>
      </c>
      <c r="B1412" t="str">
        <f t="shared" si="87"/>
        <v>X100-51L180.945</v>
      </c>
      <c r="C1412">
        <v>0.9</v>
      </c>
      <c r="D1412">
        <v>45</v>
      </c>
      <c r="E1412">
        <v>0.79584600000000005</v>
      </c>
      <c r="F1412">
        <v>38.404800000000002</v>
      </c>
      <c r="G1412">
        <f t="shared" si="88"/>
        <v>9.7294543485080993</v>
      </c>
      <c r="H1412">
        <f t="shared" si="89"/>
        <v>9.2111805555555559</v>
      </c>
      <c r="I1412">
        <f t="shared" si="90"/>
        <v>8.1797598456488352</v>
      </c>
    </row>
    <row r="1413" spans="1:9" x14ac:dyDescent="0.25">
      <c r="A1413" t="s">
        <v>314</v>
      </c>
      <c r="B1413" t="str">
        <f t="shared" si="87"/>
        <v>X100-51L180.950</v>
      </c>
      <c r="C1413">
        <v>0.9</v>
      </c>
      <c r="D1413">
        <v>50</v>
      </c>
      <c r="E1413">
        <v>0.82310099999999997</v>
      </c>
      <c r="F1413">
        <v>39.928800000000003</v>
      </c>
      <c r="G1413">
        <f t="shared" si="88"/>
        <v>10.134660866553624</v>
      </c>
      <c r="H1413">
        <f t="shared" si="89"/>
        <v>9.5266319444444427</v>
      </c>
      <c r="I1413">
        <f t="shared" si="90"/>
        <v>8.1216432482353245</v>
      </c>
    </row>
    <row r="1414" spans="1:9" x14ac:dyDescent="0.25">
      <c r="A1414" t="s">
        <v>314</v>
      </c>
      <c r="B1414" t="str">
        <f t="shared" si="87"/>
        <v>X100-51L180.955</v>
      </c>
      <c r="C1414">
        <v>0.9</v>
      </c>
      <c r="D1414">
        <v>55</v>
      </c>
      <c r="E1414">
        <v>0.87216000000000005</v>
      </c>
      <c r="F1414">
        <v>40.843200000000003</v>
      </c>
      <c r="G1414">
        <f t="shared" si="88"/>
        <v>10.378485249800043</v>
      </c>
      <c r="H1414">
        <f t="shared" si="89"/>
        <v>10.094444444444445</v>
      </c>
      <c r="I1414">
        <f t="shared" si="90"/>
        <v>8.4035384645057274</v>
      </c>
    </row>
    <row r="1415" spans="1:9" x14ac:dyDescent="0.25">
      <c r="A1415" t="s">
        <v>314</v>
      </c>
      <c r="B1415" t="str">
        <f t="shared" si="87"/>
        <v>X100-51L180.960</v>
      </c>
      <c r="C1415">
        <v>0.9</v>
      </c>
      <c r="D1415">
        <v>60</v>
      </c>
      <c r="E1415">
        <v>0.91031700000000004</v>
      </c>
      <c r="F1415">
        <v>42.062400000000004</v>
      </c>
      <c r="G1415">
        <f t="shared" si="88"/>
        <v>10.704401645284221</v>
      </c>
      <c r="H1415">
        <f t="shared" si="89"/>
        <v>10.536076388888889</v>
      </c>
      <c r="I1415">
        <f t="shared" si="90"/>
        <v>8.50413717800879</v>
      </c>
    </row>
    <row r="1416" spans="1:9" x14ac:dyDescent="0.25">
      <c r="A1416" t="s">
        <v>314</v>
      </c>
      <c r="B1416" t="str">
        <f t="shared" si="87"/>
        <v>X100-51L180.965</v>
      </c>
      <c r="C1416">
        <v>0.9</v>
      </c>
      <c r="D1416">
        <v>65</v>
      </c>
      <c r="E1416">
        <v>0.95392500000000002</v>
      </c>
      <c r="F1416">
        <v>42.976800000000004</v>
      </c>
      <c r="G1416">
        <f t="shared" si="88"/>
        <v>10.94945185526408</v>
      </c>
      <c r="H1416">
        <f t="shared" si="89"/>
        <v>11.040798611111111</v>
      </c>
      <c r="I1416">
        <f t="shared" si="90"/>
        <v>8.7120799525812718</v>
      </c>
    </row>
    <row r="1417" spans="1:9" x14ac:dyDescent="0.25">
      <c r="A1417" t="s">
        <v>314</v>
      </c>
      <c r="B1417" t="str">
        <f t="shared" si="87"/>
        <v>X100-51L180.970</v>
      </c>
      <c r="C1417">
        <v>0.9</v>
      </c>
      <c r="D1417">
        <v>70</v>
      </c>
      <c r="E1417">
        <v>0.98663100000000004</v>
      </c>
      <c r="F1417">
        <v>44.196000000000005</v>
      </c>
      <c r="G1417">
        <f t="shared" si="88"/>
        <v>11.277002686392827</v>
      </c>
      <c r="H1417">
        <f t="shared" si="89"/>
        <v>11.419340277777778</v>
      </c>
      <c r="I1417">
        <f t="shared" si="90"/>
        <v>8.7490535157050111</v>
      </c>
    </row>
    <row r="1418" spans="1:9" x14ac:dyDescent="0.25">
      <c r="A1418" t="s">
        <v>314</v>
      </c>
      <c r="B1418" t="str">
        <f t="shared" si="87"/>
        <v>X100-51L180.975</v>
      </c>
      <c r="C1418">
        <v>0.9</v>
      </c>
      <c r="D1418">
        <v>75</v>
      </c>
      <c r="E1418">
        <v>1.0193369999999999</v>
      </c>
      <c r="F1418">
        <v>45.415200000000006</v>
      </c>
      <c r="G1418">
        <f t="shared" si="88"/>
        <v>11.605487480747058</v>
      </c>
      <c r="H1418">
        <f t="shared" si="89"/>
        <v>11.797881944444443</v>
      </c>
      <c r="I1418">
        <f t="shared" si="90"/>
        <v>8.7832329464060059</v>
      </c>
    </row>
    <row r="1419" spans="1:9" x14ac:dyDescent="0.25">
      <c r="A1419" t="s">
        <v>314</v>
      </c>
      <c r="B1419" t="str">
        <f t="shared" si="87"/>
        <v>X100-51L180.980</v>
      </c>
      <c r="C1419">
        <v>0.9</v>
      </c>
      <c r="D1419">
        <v>80</v>
      </c>
      <c r="E1419">
        <v>1.0520430000000001</v>
      </c>
      <c r="F1419">
        <v>46.329599999999999</v>
      </c>
      <c r="G1419">
        <f t="shared" si="88"/>
        <v>11.852463989879446</v>
      </c>
      <c r="H1419">
        <f t="shared" si="89"/>
        <v>12.176423611111112</v>
      </c>
      <c r="I1419">
        <f t="shared" si="90"/>
        <v>8.8761543667065013</v>
      </c>
    </row>
    <row r="1420" spans="1:9" x14ac:dyDescent="0.25">
      <c r="A1420" t="s">
        <v>314</v>
      </c>
      <c r="B1420" t="str">
        <f t="shared" si="87"/>
        <v>X100-51L180.985</v>
      </c>
      <c r="C1420">
        <v>0.9</v>
      </c>
      <c r="D1420">
        <v>85</v>
      </c>
      <c r="E1420">
        <v>1.084749</v>
      </c>
      <c r="F1420">
        <v>46.9392</v>
      </c>
      <c r="G1420">
        <f t="shared" si="88"/>
        <v>12.017406859475663</v>
      </c>
      <c r="H1420">
        <f t="shared" si="89"/>
        <v>12.554965277777777</v>
      </c>
      <c r="I1420">
        <f t="shared" si="90"/>
        <v>9.0264814421647124</v>
      </c>
    </row>
    <row r="1421" spans="1:9" x14ac:dyDescent="0.25">
      <c r="A1421" t="s">
        <v>314</v>
      </c>
      <c r="B1421" t="str">
        <f t="shared" si="87"/>
        <v>X100-51L180.990</v>
      </c>
      <c r="C1421">
        <v>0.9</v>
      </c>
      <c r="D1421">
        <v>90</v>
      </c>
      <c r="E1421">
        <v>1.122906</v>
      </c>
      <c r="F1421">
        <v>47.8536</v>
      </c>
      <c r="G1421">
        <f t="shared" si="88"/>
        <v>12.265258959131927</v>
      </c>
      <c r="H1421">
        <f t="shared" si="89"/>
        <v>12.996597222222221</v>
      </c>
      <c r="I1421">
        <f t="shared" si="90"/>
        <v>9.1551756366624115</v>
      </c>
    </row>
    <row r="1422" spans="1:9" x14ac:dyDescent="0.25">
      <c r="A1422" t="s">
        <v>314</v>
      </c>
      <c r="B1422" t="str">
        <f t="shared" si="87"/>
        <v>X100-51L180.995</v>
      </c>
      <c r="C1422">
        <v>0.9</v>
      </c>
      <c r="D1422">
        <v>95</v>
      </c>
      <c r="E1422">
        <v>1.1556120000000001</v>
      </c>
      <c r="F1422">
        <v>48.463200000000001</v>
      </c>
      <c r="G1422">
        <f t="shared" si="88"/>
        <v>12.430785555744073</v>
      </c>
      <c r="H1422">
        <f t="shared" si="89"/>
        <v>13.375138888888889</v>
      </c>
      <c r="I1422">
        <f t="shared" si="90"/>
        <v>9.2963714547067351</v>
      </c>
    </row>
    <row r="1423" spans="1:9" x14ac:dyDescent="0.25">
      <c r="A1423" t="s">
        <v>314</v>
      </c>
      <c r="B1423" t="str">
        <f t="shared" si="87"/>
        <v>X100-51L180.9100</v>
      </c>
      <c r="C1423">
        <v>0.9</v>
      </c>
      <c r="D1423">
        <v>100</v>
      </c>
      <c r="E1423">
        <v>1.1828670000000001</v>
      </c>
      <c r="F1423">
        <v>49.072800000000001</v>
      </c>
      <c r="G1423">
        <f t="shared" si="88"/>
        <v>12.596545643162571</v>
      </c>
      <c r="H1423">
        <f t="shared" si="89"/>
        <v>13.690590277777778</v>
      </c>
      <c r="I1423">
        <f t="shared" si="90"/>
        <v>9.3904077634336414</v>
      </c>
    </row>
    <row r="1424" spans="1:9" x14ac:dyDescent="0.25">
      <c r="A1424" t="s">
        <v>314</v>
      </c>
      <c r="B1424" t="str">
        <f t="shared" si="87"/>
        <v>X100-51L180.9540</v>
      </c>
      <c r="C1424">
        <v>0.95</v>
      </c>
      <c r="D1424">
        <v>40</v>
      </c>
      <c r="E1424">
        <v>0.83945400000000003</v>
      </c>
      <c r="F1424">
        <v>39.014400000000002</v>
      </c>
      <c r="G1424">
        <f t="shared" si="88"/>
        <v>9.8913618376215311</v>
      </c>
      <c r="H1424">
        <f t="shared" si="89"/>
        <v>9.715902777777778</v>
      </c>
      <c r="I1424">
        <f t="shared" si="90"/>
        <v>8.4867383660676445</v>
      </c>
    </row>
    <row r="1425" spans="1:9" x14ac:dyDescent="0.25">
      <c r="A1425" t="s">
        <v>314</v>
      </c>
      <c r="B1425" t="str">
        <f t="shared" si="87"/>
        <v>X100-51L180.9545</v>
      </c>
      <c r="C1425">
        <v>0.95</v>
      </c>
      <c r="D1425">
        <v>45</v>
      </c>
      <c r="E1425">
        <v>0.88306200000000001</v>
      </c>
      <c r="F1425">
        <v>40.233600000000003</v>
      </c>
      <c r="G1425">
        <f t="shared" si="88"/>
        <v>10.215877288267514</v>
      </c>
      <c r="H1425">
        <f t="shared" si="89"/>
        <v>10.220625</v>
      </c>
      <c r="I1425">
        <f t="shared" si="90"/>
        <v>8.6440153408475044</v>
      </c>
    </row>
    <row r="1426" spans="1:9" x14ac:dyDescent="0.25">
      <c r="A1426" t="s">
        <v>314</v>
      </c>
      <c r="B1426" t="str">
        <f t="shared" si="87"/>
        <v>X100-51L180.9550</v>
      </c>
      <c r="C1426">
        <v>0.95</v>
      </c>
      <c r="D1426">
        <v>50</v>
      </c>
      <c r="E1426">
        <v>0.92121900000000001</v>
      </c>
      <c r="F1426">
        <v>41.148000000000003</v>
      </c>
      <c r="G1426">
        <f t="shared" si="88"/>
        <v>10.459876789618697</v>
      </c>
      <c r="H1426">
        <f t="shared" si="89"/>
        <v>10.662256944444444</v>
      </c>
      <c r="I1426">
        <f t="shared" si="90"/>
        <v>8.8071687509196952</v>
      </c>
    </row>
    <row r="1427" spans="1:9" x14ac:dyDescent="0.25">
      <c r="A1427" t="s">
        <v>314</v>
      </c>
      <c r="B1427" t="str">
        <f t="shared" si="87"/>
        <v>X100-51L180.9555</v>
      </c>
      <c r="C1427">
        <v>0.95</v>
      </c>
      <c r="D1427">
        <v>55</v>
      </c>
      <c r="E1427">
        <v>0.97027799999999997</v>
      </c>
      <c r="F1427">
        <v>42.367200000000004</v>
      </c>
      <c r="G1427">
        <f t="shared" si="88"/>
        <v>10.786026675909241</v>
      </c>
      <c r="H1427">
        <f t="shared" si="89"/>
        <v>11.230069444444444</v>
      </c>
      <c r="I1427">
        <f t="shared" si="90"/>
        <v>8.9956944216272987</v>
      </c>
    </row>
    <row r="1428" spans="1:9" x14ac:dyDescent="0.25">
      <c r="A1428" t="s">
        <v>314</v>
      </c>
      <c r="B1428" t="str">
        <f t="shared" si="87"/>
        <v>X100-51L180.9560</v>
      </c>
      <c r="C1428">
        <v>0.95</v>
      </c>
      <c r="D1428">
        <v>60</v>
      </c>
      <c r="E1428">
        <v>1.0138860000000001</v>
      </c>
      <c r="F1428">
        <v>43.586400000000005</v>
      </c>
      <c r="G1428">
        <f t="shared" si="88"/>
        <v>11.113110525425263</v>
      </c>
      <c r="H1428">
        <f t="shared" si="89"/>
        <v>11.734791666666666</v>
      </c>
      <c r="I1428">
        <f t="shared" si="90"/>
        <v>9.1233322810959976</v>
      </c>
    </row>
    <row r="1429" spans="1:9" x14ac:dyDescent="0.25">
      <c r="A1429" t="s">
        <v>314</v>
      </c>
      <c r="B1429" t="str">
        <f t="shared" si="87"/>
        <v>X100-51L180.9565</v>
      </c>
      <c r="C1429">
        <v>0.95</v>
      </c>
      <c r="D1429">
        <v>65</v>
      </c>
      <c r="E1429">
        <v>1.062945</v>
      </c>
      <c r="F1429">
        <v>44.805600000000005</v>
      </c>
      <c r="G1429">
        <f t="shared" si="88"/>
        <v>11.441128338166763</v>
      </c>
      <c r="H1429">
        <f t="shared" si="89"/>
        <v>12.302604166666667</v>
      </c>
      <c r="I1429">
        <f t="shared" si="90"/>
        <v>9.290560935795936</v>
      </c>
    </row>
    <row r="1430" spans="1:9" x14ac:dyDescent="0.25">
      <c r="A1430" t="s">
        <v>314</v>
      </c>
      <c r="B1430" t="str">
        <f t="shared" si="87"/>
        <v>X100-51L180.9570</v>
      </c>
      <c r="C1430">
        <v>0.95</v>
      </c>
      <c r="D1430">
        <v>70</v>
      </c>
      <c r="E1430">
        <v>1.101102</v>
      </c>
      <c r="F1430">
        <v>46.329599999999999</v>
      </c>
      <c r="G1430">
        <f t="shared" si="88"/>
        <v>11.852463989879446</v>
      </c>
      <c r="H1430">
        <f t="shared" si="89"/>
        <v>12.74423611111111</v>
      </c>
      <c r="I1430">
        <f t="shared" si="90"/>
        <v>9.2900683009052489</v>
      </c>
    </row>
    <row r="1431" spans="1:9" x14ac:dyDescent="0.25">
      <c r="A1431" t="s">
        <v>314</v>
      </c>
      <c r="B1431" t="str">
        <f t="shared" si="87"/>
        <v>X100-51L180.9575</v>
      </c>
      <c r="C1431">
        <v>0.95</v>
      </c>
      <c r="D1431">
        <v>75</v>
      </c>
      <c r="E1431">
        <v>1.139259</v>
      </c>
      <c r="F1431">
        <v>47.5488</v>
      </c>
      <c r="G1431">
        <f t="shared" si="88"/>
        <v>12.182583219878246</v>
      </c>
      <c r="H1431">
        <f t="shared" si="89"/>
        <v>13.185868055555556</v>
      </c>
      <c r="I1431">
        <f t="shared" si="90"/>
        <v>9.351538827504811</v>
      </c>
    </row>
    <row r="1432" spans="1:9" x14ac:dyDescent="0.25">
      <c r="A1432" t="s">
        <v>314</v>
      </c>
      <c r="B1432" t="str">
        <f t="shared" si="87"/>
        <v>X100-51L180.9580</v>
      </c>
      <c r="C1432">
        <v>0.95</v>
      </c>
      <c r="D1432">
        <v>80</v>
      </c>
      <c r="E1432">
        <v>1.1719649999999999</v>
      </c>
      <c r="F1432">
        <v>48.463200000000001</v>
      </c>
      <c r="G1432">
        <f t="shared" si="88"/>
        <v>12.430785555744073</v>
      </c>
      <c r="H1432">
        <f t="shared" si="89"/>
        <v>13.564409722222221</v>
      </c>
      <c r="I1432">
        <f t="shared" si="90"/>
        <v>9.4279238809525854</v>
      </c>
    </row>
    <row r="1433" spans="1:9" x14ac:dyDescent="0.25">
      <c r="A1433" t="s">
        <v>314</v>
      </c>
      <c r="B1433" t="str">
        <f t="shared" si="87"/>
        <v>X100-51L180.9585</v>
      </c>
      <c r="C1433">
        <v>0.95</v>
      </c>
      <c r="D1433">
        <v>85</v>
      </c>
      <c r="E1433">
        <v>1.2101219999999999</v>
      </c>
      <c r="F1433">
        <v>49.072800000000001</v>
      </c>
      <c r="G1433">
        <f t="shared" si="88"/>
        <v>12.596545643162571</v>
      </c>
      <c r="H1433">
        <f t="shared" si="89"/>
        <v>14.006041666666665</v>
      </c>
      <c r="I1433">
        <f t="shared" si="90"/>
        <v>9.6067766059090687</v>
      </c>
    </row>
    <row r="1434" spans="1:9" x14ac:dyDescent="0.25">
      <c r="A1434" t="s">
        <v>314</v>
      </c>
      <c r="B1434" t="str">
        <f t="shared" si="87"/>
        <v>X100-51L180.9590</v>
      </c>
      <c r="C1434">
        <v>0.95</v>
      </c>
      <c r="D1434">
        <v>90</v>
      </c>
      <c r="E1434">
        <v>1.242828</v>
      </c>
      <c r="F1434">
        <v>49.682400000000001</v>
      </c>
      <c r="G1434">
        <f t="shared" si="88"/>
        <v>12.762539221387449</v>
      </c>
      <c r="H1434">
        <f t="shared" si="89"/>
        <v>14.384583333333333</v>
      </c>
      <c r="I1434">
        <f t="shared" si="90"/>
        <v>9.7380934815641567</v>
      </c>
    </row>
    <row r="1435" spans="1:9" x14ac:dyDescent="0.25">
      <c r="A1435" t="s">
        <v>314</v>
      </c>
      <c r="B1435" t="str">
        <f t="shared" si="87"/>
        <v>X100-51L180.9595</v>
      </c>
      <c r="C1435">
        <v>0.95</v>
      </c>
      <c r="D1435">
        <v>95</v>
      </c>
      <c r="E1435">
        <v>1.280985</v>
      </c>
      <c r="F1435">
        <v>50.292000000000002</v>
      </c>
      <c r="G1435">
        <f t="shared" si="88"/>
        <v>12.928766290418693</v>
      </c>
      <c r="H1435">
        <f t="shared" si="89"/>
        <v>14.826215277777777</v>
      </c>
      <c r="I1435">
        <f t="shared" si="90"/>
        <v>9.9080219351580201</v>
      </c>
    </row>
    <row r="1436" spans="1:9" x14ac:dyDescent="0.25">
      <c r="A1436" t="s">
        <v>314</v>
      </c>
      <c r="B1436" t="str">
        <f t="shared" si="87"/>
        <v>X100-51L180.95100</v>
      </c>
      <c r="C1436">
        <v>0.95</v>
      </c>
      <c r="D1436">
        <v>100</v>
      </c>
      <c r="E1436">
        <v>1.319142</v>
      </c>
      <c r="F1436">
        <v>51.206400000000002</v>
      </c>
      <c r="G1436">
        <f t="shared" si="88"/>
        <v>13.1785446892275</v>
      </c>
      <c r="H1436">
        <f t="shared" si="89"/>
        <v>15.267847222222223</v>
      </c>
      <c r="I1436">
        <f t="shared" si="90"/>
        <v>10.009769903336158</v>
      </c>
    </row>
    <row r="1437" spans="1:9" x14ac:dyDescent="0.25">
      <c r="A1437" t="s">
        <v>314</v>
      </c>
      <c r="B1437" t="str">
        <f t="shared" si="87"/>
        <v>X100-51L18145</v>
      </c>
      <c r="C1437">
        <v>1</v>
      </c>
      <c r="D1437">
        <v>45</v>
      </c>
      <c r="E1437">
        <v>0.98118000000000005</v>
      </c>
      <c r="F1437">
        <v>41.452800000000003</v>
      </c>
      <c r="G1437">
        <f t="shared" si="88"/>
        <v>10.541326702138953</v>
      </c>
      <c r="H1437">
        <f t="shared" si="89"/>
        <v>11.356249999999999</v>
      </c>
      <c r="I1437">
        <f t="shared" si="90"/>
        <v>9.3079365408616699</v>
      </c>
    </row>
    <row r="1438" spans="1:9" x14ac:dyDescent="0.25">
      <c r="A1438" t="s">
        <v>314</v>
      </c>
      <c r="B1438" t="str">
        <f t="shared" si="87"/>
        <v>X100-51L18150</v>
      </c>
      <c r="C1438">
        <v>1</v>
      </c>
      <c r="D1438">
        <v>50</v>
      </c>
      <c r="E1438">
        <v>1.0193369999999999</v>
      </c>
      <c r="F1438">
        <v>42.672000000000004</v>
      </c>
      <c r="G1438">
        <f t="shared" si="88"/>
        <v>10.867710079235856</v>
      </c>
      <c r="H1438">
        <f t="shared" si="89"/>
        <v>11.797881944444443</v>
      </c>
      <c r="I1438">
        <f t="shared" si="90"/>
        <v>9.3795012248953249</v>
      </c>
    </row>
    <row r="1439" spans="1:9" x14ac:dyDescent="0.25">
      <c r="A1439" t="s">
        <v>314</v>
      </c>
      <c r="B1439" t="str">
        <f t="shared" si="87"/>
        <v>X100-51L18155</v>
      </c>
      <c r="C1439">
        <v>1</v>
      </c>
      <c r="D1439">
        <v>55</v>
      </c>
      <c r="E1439">
        <v>1.0683960000000001</v>
      </c>
      <c r="F1439">
        <v>43.891200000000005</v>
      </c>
      <c r="G1439">
        <f t="shared" si="88"/>
        <v>11.195027419558258</v>
      </c>
      <c r="H1439">
        <f t="shared" si="89"/>
        <v>12.365694444444445</v>
      </c>
      <c r="I1439">
        <f t="shared" si="90"/>
        <v>9.5434871211968648</v>
      </c>
    </row>
    <row r="1440" spans="1:9" x14ac:dyDescent="0.25">
      <c r="A1440" t="s">
        <v>314</v>
      </c>
      <c r="B1440" t="str">
        <f t="shared" si="87"/>
        <v>X100-51L18160</v>
      </c>
      <c r="C1440">
        <v>1</v>
      </c>
      <c r="D1440">
        <v>60</v>
      </c>
      <c r="E1440">
        <v>1.1174550000000001</v>
      </c>
      <c r="F1440">
        <v>45.110400000000006</v>
      </c>
      <c r="G1440">
        <f t="shared" si="88"/>
        <v>11.52327872310611</v>
      </c>
      <c r="H1440">
        <f t="shared" si="89"/>
        <v>12.933506944444444</v>
      </c>
      <c r="I1440">
        <f t="shared" si="90"/>
        <v>9.6973702264036632</v>
      </c>
    </row>
    <row r="1441" spans="1:9" x14ac:dyDescent="0.25">
      <c r="A1441" t="s">
        <v>314</v>
      </c>
      <c r="B1441" t="str">
        <f t="shared" si="87"/>
        <v>X100-51L18165</v>
      </c>
      <c r="C1441">
        <v>1</v>
      </c>
      <c r="D1441">
        <v>65</v>
      </c>
      <c r="E1441">
        <v>1.1665140000000001</v>
      </c>
      <c r="F1441">
        <v>46.634399999999999</v>
      </c>
      <c r="G1441">
        <f t="shared" si="88"/>
        <v>11.934906238326754</v>
      </c>
      <c r="H1441">
        <f t="shared" si="89"/>
        <v>13.501319444444444</v>
      </c>
      <c r="I1441">
        <f t="shared" si="90"/>
        <v>9.7739686990917036</v>
      </c>
    </row>
    <row r="1442" spans="1:9" x14ac:dyDescent="0.25">
      <c r="A1442" t="s">
        <v>314</v>
      </c>
      <c r="B1442" t="str">
        <f t="shared" si="87"/>
        <v>X100-51L18170</v>
      </c>
      <c r="C1442">
        <v>1</v>
      </c>
      <c r="D1442">
        <v>70</v>
      </c>
      <c r="E1442">
        <v>1.215573</v>
      </c>
      <c r="F1442">
        <v>48.1584</v>
      </c>
      <c r="G1442">
        <f t="shared" si="88"/>
        <v>12.347993071087203</v>
      </c>
      <c r="H1442">
        <f t="shared" si="89"/>
        <v>14.069131944444443</v>
      </c>
      <c r="I1442">
        <f t="shared" si="90"/>
        <v>9.8442960973655005</v>
      </c>
    </row>
    <row r="1443" spans="1:9" x14ac:dyDescent="0.25">
      <c r="A1443" t="s">
        <v>314</v>
      </c>
      <c r="B1443" t="str">
        <f t="shared" si="87"/>
        <v>X100-51L18175</v>
      </c>
      <c r="C1443">
        <v>1</v>
      </c>
      <c r="D1443">
        <v>75</v>
      </c>
      <c r="E1443">
        <v>1.25373</v>
      </c>
      <c r="F1443">
        <v>49.377600000000001</v>
      </c>
      <c r="G1443">
        <f t="shared" si="88"/>
        <v>12.67951324592422</v>
      </c>
      <c r="H1443">
        <f t="shared" si="89"/>
        <v>14.510763888888889</v>
      </c>
      <c r="I1443">
        <f t="shared" si="90"/>
        <v>9.8878401377356226</v>
      </c>
    </row>
    <row r="1444" spans="1:9" x14ac:dyDescent="0.25">
      <c r="A1444" t="s">
        <v>314</v>
      </c>
      <c r="B1444" t="str">
        <f t="shared" si="87"/>
        <v>X100-51L18180</v>
      </c>
      <c r="C1444">
        <v>1</v>
      </c>
      <c r="D1444">
        <v>80</v>
      </c>
      <c r="E1444">
        <v>1.291887</v>
      </c>
      <c r="F1444">
        <v>50.292000000000002</v>
      </c>
      <c r="G1444">
        <f t="shared" si="88"/>
        <v>12.928766290418693</v>
      </c>
      <c r="H1444">
        <f t="shared" si="89"/>
        <v>14.952395833333332</v>
      </c>
      <c r="I1444">
        <f t="shared" si="90"/>
        <v>9.9923455260955354</v>
      </c>
    </row>
    <row r="1445" spans="1:9" x14ac:dyDescent="0.25">
      <c r="A1445" t="s">
        <v>314</v>
      </c>
      <c r="B1445" t="str">
        <f t="shared" si="87"/>
        <v>X100-51L18185</v>
      </c>
      <c r="C1445">
        <v>1</v>
      </c>
      <c r="D1445">
        <v>85</v>
      </c>
      <c r="E1445">
        <v>1.330044</v>
      </c>
      <c r="F1445">
        <v>50.901600000000002</v>
      </c>
      <c r="G1445">
        <f t="shared" si="88"/>
        <v>13.095226850256296</v>
      </c>
      <c r="H1445">
        <f t="shared" si="89"/>
        <v>15.394027777777778</v>
      </c>
      <c r="I1445">
        <f t="shared" si="90"/>
        <v>10.15670835800732</v>
      </c>
    </row>
    <row r="1446" spans="1:9" x14ac:dyDescent="0.25">
      <c r="A1446" t="s">
        <v>314</v>
      </c>
      <c r="B1446" t="str">
        <f t="shared" ref="B1446:B1509" si="91">A1446&amp;C1446&amp;D1446</f>
        <v>X100-51L18190</v>
      </c>
      <c r="C1446">
        <v>1</v>
      </c>
      <c r="D1446">
        <v>90</v>
      </c>
      <c r="E1446">
        <v>1.368201</v>
      </c>
      <c r="F1446">
        <v>51.511200000000002</v>
      </c>
      <c r="G1446">
        <f t="shared" si="88"/>
        <v>13.261920900900286</v>
      </c>
      <c r="H1446">
        <f t="shared" si="89"/>
        <v>15.835659722222221</v>
      </c>
      <c r="I1446">
        <f t="shared" si="90"/>
        <v>10.316763387625993</v>
      </c>
    </row>
    <row r="1447" spans="1:9" x14ac:dyDescent="0.25">
      <c r="A1447" t="s">
        <v>314</v>
      </c>
      <c r="B1447" t="str">
        <f t="shared" si="91"/>
        <v>X100-51L18195</v>
      </c>
      <c r="C1447">
        <v>1</v>
      </c>
      <c r="D1447">
        <v>95</v>
      </c>
      <c r="E1447">
        <v>1.4118090000000001</v>
      </c>
      <c r="F1447">
        <v>52.425600000000003</v>
      </c>
      <c r="G1447">
        <f t="shared" si="88"/>
        <v>13.512399772128191</v>
      </c>
      <c r="H1447">
        <f t="shared" si="89"/>
        <v>16.340381944444445</v>
      </c>
      <c r="I1447">
        <f t="shared" si="90"/>
        <v>10.448247711795174</v>
      </c>
    </row>
    <row r="1448" spans="1:9" x14ac:dyDescent="0.25">
      <c r="A1448" t="s">
        <v>314</v>
      </c>
      <c r="B1448" t="str">
        <f t="shared" si="91"/>
        <v>X100-51L181100</v>
      </c>
      <c r="C1448">
        <v>1</v>
      </c>
      <c r="D1448">
        <v>100</v>
      </c>
      <c r="E1448">
        <v>1.444515</v>
      </c>
      <c r="F1448">
        <v>53.035200000000003</v>
      </c>
      <c r="G1448">
        <f t="shared" si="88"/>
        <v>13.679677549788082</v>
      </c>
      <c r="H1448">
        <f t="shared" si="89"/>
        <v>16.718923611111109</v>
      </c>
      <c r="I1448">
        <f t="shared" si="90"/>
        <v>10.559569074216794</v>
      </c>
    </row>
    <row r="1449" spans="1:9" x14ac:dyDescent="0.25">
      <c r="A1449" t="s">
        <v>315</v>
      </c>
      <c r="B1449" t="str">
        <f t="shared" si="91"/>
        <v>X100-51L240.490</v>
      </c>
      <c r="C1449">
        <v>0.4</v>
      </c>
      <c r="D1449">
        <v>90</v>
      </c>
      <c r="E1449">
        <v>0.24529500000000001</v>
      </c>
      <c r="F1449">
        <v>30.784800000000001</v>
      </c>
      <c r="G1449">
        <f t="shared" si="88"/>
        <v>7.7253115213775132</v>
      </c>
      <c r="H1449">
        <f t="shared" si="89"/>
        <v>2.8390624999999998</v>
      </c>
      <c r="I1449">
        <f t="shared" si="90"/>
        <v>3.1752117609913686</v>
      </c>
    </row>
    <row r="1450" spans="1:9" x14ac:dyDescent="0.25">
      <c r="A1450" t="s">
        <v>315</v>
      </c>
      <c r="B1450" t="str">
        <f t="shared" si="91"/>
        <v>X100-51L240.495</v>
      </c>
      <c r="C1450">
        <v>0.4</v>
      </c>
      <c r="D1450">
        <v>95</v>
      </c>
      <c r="E1450">
        <v>0.25074600000000002</v>
      </c>
      <c r="F1450">
        <v>31.394400000000001</v>
      </c>
      <c r="G1450">
        <f t="shared" si="88"/>
        <v>7.8843003754113425</v>
      </c>
      <c r="H1450">
        <f t="shared" si="89"/>
        <v>2.9021527777777778</v>
      </c>
      <c r="I1450">
        <f t="shared" si="90"/>
        <v>3.1803202321159416</v>
      </c>
    </row>
    <row r="1451" spans="1:9" x14ac:dyDescent="0.25">
      <c r="A1451" t="s">
        <v>315</v>
      </c>
      <c r="B1451" t="str">
        <f t="shared" si="91"/>
        <v>X100-51L240.4100</v>
      </c>
      <c r="C1451">
        <v>0.4</v>
      </c>
      <c r="D1451">
        <v>100</v>
      </c>
      <c r="E1451">
        <v>0.26164799999999999</v>
      </c>
      <c r="F1451">
        <v>32.004000000000005</v>
      </c>
      <c r="G1451">
        <f t="shared" si="88"/>
        <v>8.0435227202515449</v>
      </c>
      <c r="H1451">
        <f t="shared" si="89"/>
        <v>3.0283333333333329</v>
      </c>
      <c r="I1451">
        <f t="shared" si="90"/>
        <v>3.2529031010410012</v>
      </c>
    </row>
    <row r="1452" spans="1:9" x14ac:dyDescent="0.25">
      <c r="A1452" t="s">
        <v>315</v>
      </c>
      <c r="B1452" t="str">
        <f t="shared" si="91"/>
        <v>X100-51L240.4590</v>
      </c>
      <c r="C1452">
        <v>0.45</v>
      </c>
      <c r="D1452">
        <v>90</v>
      </c>
      <c r="E1452">
        <v>0.29980499999999999</v>
      </c>
      <c r="F1452">
        <v>35.3568</v>
      </c>
      <c r="G1452">
        <f t="shared" si="88"/>
        <v>8.9234192650364648</v>
      </c>
      <c r="H1452">
        <f t="shared" si="89"/>
        <v>3.4699652777777774</v>
      </c>
      <c r="I1452">
        <f t="shared" si="90"/>
        <v>3.3597547206449105</v>
      </c>
    </row>
    <row r="1453" spans="1:9" x14ac:dyDescent="0.25">
      <c r="A1453" t="s">
        <v>315</v>
      </c>
      <c r="B1453" t="str">
        <f t="shared" si="91"/>
        <v>X100-51L240.4595</v>
      </c>
      <c r="C1453">
        <v>0.45</v>
      </c>
      <c r="D1453">
        <v>95</v>
      </c>
      <c r="E1453">
        <v>0.31070700000000001</v>
      </c>
      <c r="F1453">
        <v>36.2712</v>
      </c>
      <c r="G1453">
        <f t="shared" si="88"/>
        <v>9.1646168767112357</v>
      </c>
      <c r="H1453">
        <f t="shared" si="89"/>
        <v>3.5961458333333334</v>
      </c>
      <c r="I1453">
        <f t="shared" si="90"/>
        <v>3.3902890233148368</v>
      </c>
    </row>
    <row r="1454" spans="1:9" x14ac:dyDescent="0.25">
      <c r="A1454" t="s">
        <v>315</v>
      </c>
      <c r="B1454" t="str">
        <f t="shared" si="91"/>
        <v>X100-51L240.45100</v>
      </c>
      <c r="C1454">
        <v>0.45</v>
      </c>
      <c r="D1454">
        <v>100</v>
      </c>
      <c r="E1454">
        <v>0.32706000000000002</v>
      </c>
      <c r="F1454">
        <v>37.185600000000001</v>
      </c>
      <c r="G1454">
        <f t="shared" si="88"/>
        <v>9.4063398427003477</v>
      </c>
      <c r="H1454">
        <f t="shared" si="89"/>
        <v>3.7854166666666669</v>
      </c>
      <c r="I1454">
        <f t="shared" si="90"/>
        <v>3.4770166235680944</v>
      </c>
    </row>
    <row r="1455" spans="1:9" x14ac:dyDescent="0.25">
      <c r="A1455" t="s">
        <v>315</v>
      </c>
      <c r="B1455" t="str">
        <f t="shared" si="91"/>
        <v>X100-51L240.580</v>
      </c>
      <c r="C1455">
        <v>0.5</v>
      </c>
      <c r="D1455">
        <v>80</v>
      </c>
      <c r="E1455">
        <v>0.34341300000000002</v>
      </c>
      <c r="F1455">
        <v>35.052</v>
      </c>
      <c r="G1455">
        <f t="shared" si="88"/>
        <v>8.8431368065480598</v>
      </c>
      <c r="H1455">
        <f t="shared" si="89"/>
        <v>3.9746874999999999</v>
      </c>
      <c r="I1455">
        <f t="shared" si="90"/>
        <v>3.8833844540968054</v>
      </c>
    </row>
    <row r="1456" spans="1:9" x14ac:dyDescent="0.25">
      <c r="A1456" t="s">
        <v>315</v>
      </c>
      <c r="B1456" t="str">
        <f t="shared" si="91"/>
        <v>X100-51L240.585</v>
      </c>
      <c r="C1456">
        <v>0.5</v>
      </c>
      <c r="D1456">
        <v>85</v>
      </c>
      <c r="E1456">
        <v>0.35431499999999999</v>
      </c>
      <c r="F1456">
        <v>35.6616</v>
      </c>
      <c r="G1456">
        <f t="shared" si="88"/>
        <v>9.0037600962264648</v>
      </c>
      <c r="H1456">
        <f t="shared" si="89"/>
        <v>4.100868055555555</v>
      </c>
      <c r="I1456">
        <f t="shared" si="90"/>
        <v>3.9351892566361886</v>
      </c>
    </row>
    <row r="1457" spans="1:9" x14ac:dyDescent="0.25">
      <c r="A1457" t="s">
        <v>315</v>
      </c>
      <c r="B1457" t="str">
        <f t="shared" si="91"/>
        <v>X100-51L240.590</v>
      </c>
      <c r="C1457">
        <v>0.5</v>
      </c>
      <c r="D1457">
        <v>90</v>
      </c>
      <c r="E1457">
        <v>0.36521700000000001</v>
      </c>
      <c r="F1457">
        <v>36.2712</v>
      </c>
      <c r="G1457">
        <f t="shared" si="88"/>
        <v>9.1646168767112357</v>
      </c>
      <c r="H1457">
        <f t="shared" si="89"/>
        <v>4.227048611111111</v>
      </c>
      <c r="I1457">
        <f t="shared" si="90"/>
        <v>3.9850765712648077</v>
      </c>
    </row>
    <row r="1458" spans="1:9" x14ac:dyDescent="0.25">
      <c r="A1458" t="s">
        <v>315</v>
      </c>
      <c r="B1458" t="str">
        <f t="shared" si="91"/>
        <v>X100-51L240.595</v>
      </c>
      <c r="C1458">
        <v>0.5</v>
      </c>
      <c r="D1458">
        <v>95</v>
      </c>
      <c r="E1458">
        <v>0.37611899999999998</v>
      </c>
      <c r="F1458">
        <v>37.490400000000001</v>
      </c>
      <c r="G1458">
        <f t="shared" si="88"/>
        <v>9.4870309100998966</v>
      </c>
      <c r="H1458">
        <f t="shared" si="89"/>
        <v>4.353229166666666</v>
      </c>
      <c r="I1458">
        <f t="shared" si="90"/>
        <v>3.9645596558516907</v>
      </c>
    </row>
    <row r="1459" spans="1:9" x14ac:dyDescent="0.25">
      <c r="A1459" t="s">
        <v>315</v>
      </c>
      <c r="B1459" t="str">
        <f t="shared" si="91"/>
        <v>X100-51L240.5100</v>
      </c>
      <c r="C1459">
        <v>0.5</v>
      </c>
      <c r="D1459">
        <v>100</v>
      </c>
      <c r="E1459">
        <v>0.387021</v>
      </c>
      <c r="F1459">
        <v>38.404800000000002</v>
      </c>
      <c r="G1459">
        <f t="shared" si="88"/>
        <v>9.7294543485080993</v>
      </c>
      <c r="H1459">
        <f t="shared" si="89"/>
        <v>4.479409722222222</v>
      </c>
      <c r="I1459">
        <f t="shared" si="90"/>
        <v>3.9778284180895018</v>
      </c>
    </row>
    <row r="1460" spans="1:9" x14ac:dyDescent="0.25">
      <c r="A1460" t="s">
        <v>315</v>
      </c>
      <c r="B1460" t="str">
        <f t="shared" si="91"/>
        <v>X100-51L240.5565</v>
      </c>
      <c r="C1460">
        <v>0.55000000000000004</v>
      </c>
      <c r="D1460">
        <v>65</v>
      </c>
      <c r="E1460">
        <v>0.37611899999999998</v>
      </c>
      <c r="F1460">
        <v>34.137599999999999</v>
      </c>
      <c r="G1460">
        <f t="shared" si="88"/>
        <v>8.6026396672923866</v>
      </c>
      <c r="H1460">
        <f t="shared" si="89"/>
        <v>4.353229166666666</v>
      </c>
      <c r="I1460">
        <f t="shared" si="90"/>
        <v>4.3721347696338011</v>
      </c>
    </row>
    <row r="1461" spans="1:9" x14ac:dyDescent="0.25">
      <c r="A1461" t="s">
        <v>315</v>
      </c>
      <c r="B1461" t="str">
        <f t="shared" si="91"/>
        <v>X100-51L240.5570</v>
      </c>
      <c r="C1461">
        <v>0.55000000000000004</v>
      </c>
      <c r="D1461">
        <v>70</v>
      </c>
      <c r="E1461">
        <v>0.39247199999999999</v>
      </c>
      <c r="F1461">
        <v>35.052</v>
      </c>
      <c r="G1461">
        <f t="shared" si="88"/>
        <v>8.8431368065480598</v>
      </c>
      <c r="H1461">
        <f t="shared" si="89"/>
        <v>4.5424999999999995</v>
      </c>
      <c r="I1461">
        <f t="shared" si="90"/>
        <v>4.43815366182492</v>
      </c>
    </row>
    <row r="1462" spans="1:9" x14ac:dyDescent="0.25">
      <c r="A1462" t="s">
        <v>315</v>
      </c>
      <c r="B1462" t="str">
        <f t="shared" si="91"/>
        <v>X100-51L240.5575</v>
      </c>
      <c r="C1462">
        <v>0.55000000000000004</v>
      </c>
      <c r="D1462">
        <v>75</v>
      </c>
      <c r="E1462">
        <v>0.40337400000000001</v>
      </c>
      <c r="F1462">
        <v>35.6616</v>
      </c>
      <c r="G1462">
        <f t="shared" si="88"/>
        <v>9.0037600962264648</v>
      </c>
      <c r="H1462">
        <f t="shared" si="89"/>
        <v>4.6686805555555555</v>
      </c>
      <c r="I1462">
        <f t="shared" si="90"/>
        <v>4.4800616152473536</v>
      </c>
    </row>
    <row r="1463" spans="1:9" x14ac:dyDescent="0.25">
      <c r="A1463" t="s">
        <v>315</v>
      </c>
      <c r="B1463" t="str">
        <f t="shared" si="91"/>
        <v>X100-51L240.5580</v>
      </c>
      <c r="C1463">
        <v>0.55000000000000004</v>
      </c>
      <c r="D1463">
        <v>80</v>
      </c>
      <c r="E1463">
        <v>0.41972700000000002</v>
      </c>
      <c r="F1463">
        <v>35.9664</v>
      </c>
      <c r="G1463">
        <f t="shared" si="88"/>
        <v>9.0841593001180527</v>
      </c>
      <c r="H1463">
        <f t="shared" si="89"/>
        <v>4.857951388888889</v>
      </c>
      <c r="I1463">
        <f t="shared" si="90"/>
        <v>4.6204275611343082</v>
      </c>
    </row>
    <row r="1464" spans="1:9" x14ac:dyDescent="0.25">
      <c r="A1464" t="s">
        <v>315</v>
      </c>
      <c r="B1464" t="str">
        <f t="shared" si="91"/>
        <v>X100-51L240.5585</v>
      </c>
      <c r="C1464">
        <v>0.55000000000000004</v>
      </c>
      <c r="D1464">
        <v>85</v>
      </c>
      <c r="E1464">
        <v>0.43608000000000002</v>
      </c>
      <c r="F1464">
        <v>36.880800000000001</v>
      </c>
      <c r="G1464">
        <f t="shared" si="88"/>
        <v>9.3257071480023868</v>
      </c>
      <c r="H1464">
        <f t="shared" si="89"/>
        <v>5.0472222222222225</v>
      </c>
      <c r="I1464">
        <f t="shared" si="90"/>
        <v>4.6761065201732244</v>
      </c>
    </row>
    <row r="1465" spans="1:9" x14ac:dyDescent="0.25">
      <c r="A1465" t="s">
        <v>315</v>
      </c>
      <c r="B1465" t="str">
        <f t="shared" si="91"/>
        <v>X100-51L240.5590</v>
      </c>
      <c r="C1465">
        <v>0.55000000000000004</v>
      </c>
      <c r="D1465">
        <v>90</v>
      </c>
      <c r="E1465">
        <v>0.44698199999999999</v>
      </c>
      <c r="F1465">
        <v>37.490400000000001</v>
      </c>
      <c r="G1465">
        <f t="shared" si="88"/>
        <v>9.4870309100998966</v>
      </c>
      <c r="H1465">
        <f t="shared" si="89"/>
        <v>5.1734027777777776</v>
      </c>
      <c r="I1465">
        <f t="shared" si="90"/>
        <v>4.7115056779686766</v>
      </c>
    </row>
    <row r="1466" spans="1:9" x14ac:dyDescent="0.25">
      <c r="A1466" t="s">
        <v>315</v>
      </c>
      <c r="B1466" t="str">
        <f t="shared" si="91"/>
        <v>X100-51L240.5595</v>
      </c>
      <c r="C1466">
        <v>0.55000000000000004</v>
      </c>
      <c r="D1466">
        <v>95</v>
      </c>
      <c r="E1466">
        <v>0.463335</v>
      </c>
      <c r="F1466">
        <v>38.404800000000002</v>
      </c>
      <c r="G1466">
        <f t="shared" si="88"/>
        <v>9.7294543485080993</v>
      </c>
      <c r="H1466">
        <f t="shared" si="89"/>
        <v>5.3626736111111111</v>
      </c>
      <c r="I1466">
        <f t="shared" si="90"/>
        <v>4.7621889512339113</v>
      </c>
    </row>
    <row r="1467" spans="1:9" x14ac:dyDescent="0.25">
      <c r="A1467" t="s">
        <v>315</v>
      </c>
      <c r="B1467" t="str">
        <f t="shared" si="91"/>
        <v>X100-51L240.55100</v>
      </c>
      <c r="C1467">
        <v>0.55000000000000004</v>
      </c>
      <c r="D1467">
        <v>100</v>
      </c>
      <c r="E1467">
        <v>0.479688</v>
      </c>
      <c r="F1467">
        <v>39.319200000000002</v>
      </c>
      <c r="G1467">
        <f t="shared" si="88"/>
        <v>9.9724031412306431</v>
      </c>
      <c r="H1467">
        <f t="shared" si="89"/>
        <v>5.5519444444444446</v>
      </c>
      <c r="I1467">
        <f t="shared" si="90"/>
        <v>4.8101545154822549</v>
      </c>
    </row>
    <row r="1468" spans="1:9" x14ac:dyDescent="0.25">
      <c r="A1468" t="s">
        <v>315</v>
      </c>
      <c r="B1468" t="str">
        <f t="shared" si="91"/>
        <v>X100-51L240.655</v>
      </c>
      <c r="C1468">
        <v>0.6</v>
      </c>
      <c r="D1468">
        <v>55</v>
      </c>
      <c r="E1468">
        <v>0.41972700000000002</v>
      </c>
      <c r="F1468">
        <v>33.832799999999999</v>
      </c>
      <c r="G1468">
        <f t="shared" si="88"/>
        <v>8.5225906996103404</v>
      </c>
      <c r="H1468">
        <f t="shared" si="89"/>
        <v>4.857951388888889</v>
      </c>
      <c r="I1468">
        <f t="shared" si="90"/>
        <v>4.9248757190602888</v>
      </c>
    </row>
    <row r="1469" spans="1:9" x14ac:dyDescent="0.25">
      <c r="A1469" t="s">
        <v>315</v>
      </c>
      <c r="B1469" t="str">
        <f t="shared" si="91"/>
        <v>X100-51L240.660</v>
      </c>
      <c r="C1469">
        <v>0.6</v>
      </c>
      <c r="D1469">
        <v>60</v>
      </c>
      <c r="E1469">
        <v>0.45243300000000003</v>
      </c>
      <c r="F1469">
        <v>35.052</v>
      </c>
      <c r="G1469">
        <f t="shared" si="88"/>
        <v>8.8431368065480598</v>
      </c>
      <c r="H1469">
        <f t="shared" si="89"/>
        <v>5.236493055555556</v>
      </c>
      <c r="I1469">
        <f t="shared" si="90"/>
        <v>5.1162049157148388</v>
      </c>
    </row>
    <row r="1470" spans="1:9" x14ac:dyDescent="0.25">
      <c r="A1470" t="s">
        <v>315</v>
      </c>
      <c r="B1470" t="str">
        <f t="shared" si="91"/>
        <v>X100-51L240.665</v>
      </c>
      <c r="C1470">
        <v>0.6</v>
      </c>
      <c r="D1470">
        <v>65</v>
      </c>
      <c r="E1470">
        <v>0.463335</v>
      </c>
      <c r="F1470">
        <v>35.6616</v>
      </c>
      <c r="G1470">
        <f t="shared" si="88"/>
        <v>9.0037600962264648</v>
      </c>
      <c r="H1470">
        <f t="shared" si="89"/>
        <v>5.3626736111111111</v>
      </c>
      <c r="I1470">
        <f t="shared" si="90"/>
        <v>5.1460167202165543</v>
      </c>
    </row>
    <row r="1471" spans="1:9" x14ac:dyDescent="0.25">
      <c r="A1471" t="s">
        <v>315</v>
      </c>
      <c r="B1471" t="str">
        <f t="shared" si="91"/>
        <v>X100-51L240.670</v>
      </c>
      <c r="C1471">
        <v>0.6</v>
      </c>
      <c r="D1471">
        <v>70</v>
      </c>
      <c r="E1471">
        <v>0.46878600000000004</v>
      </c>
      <c r="F1471">
        <v>35.9664</v>
      </c>
      <c r="G1471">
        <f t="shared" si="88"/>
        <v>9.0841593001180527</v>
      </c>
      <c r="H1471">
        <f t="shared" si="89"/>
        <v>5.4257638888888886</v>
      </c>
      <c r="I1471">
        <f t="shared" si="90"/>
        <v>5.1604775358123449</v>
      </c>
    </row>
    <row r="1472" spans="1:9" x14ac:dyDescent="0.25">
      <c r="A1472" t="s">
        <v>315</v>
      </c>
      <c r="B1472" t="str">
        <f t="shared" si="91"/>
        <v>X100-51L240.675</v>
      </c>
      <c r="C1472">
        <v>0.6</v>
      </c>
      <c r="D1472">
        <v>75</v>
      </c>
      <c r="E1472">
        <v>0.48513899999999999</v>
      </c>
      <c r="F1472">
        <v>37.185600000000001</v>
      </c>
      <c r="G1472">
        <f t="shared" si="88"/>
        <v>9.4063398427003477</v>
      </c>
      <c r="H1472">
        <f t="shared" si="89"/>
        <v>5.6150347222222221</v>
      </c>
      <c r="I1472">
        <f t="shared" si="90"/>
        <v>5.1575746582926723</v>
      </c>
    </row>
    <row r="1473" spans="1:9" x14ac:dyDescent="0.25">
      <c r="A1473" t="s">
        <v>315</v>
      </c>
      <c r="B1473" t="str">
        <f t="shared" si="91"/>
        <v>X100-51L240.680</v>
      </c>
      <c r="C1473">
        <v>0.6</v>
      </c>
      <c r="D1473">
        <v>80</v>
      </c>
      <c r="E1473">
        <v>0.50149200000000005</v>
      </c>
      <c r="F1473">
        <v>38.404800000000002</v>
      </c>
      <c r="G1473">
        <f t="shared" si="88"/>
        <v>9.7294543485080993</v>
      </c>
      <c r="H1473">
        <f t="shared" si="89"/>
        <v>5.8043055555555556</v>
      </c>
      <c r="I1473">
        <f t="shared" si="90"/>
        <v>5.1543692178061162</v>
      </c>
    </row>
    <row r="1474" spans="1:9" x14ac:dyDescent="0.25">
      <c r="A1474" t="s">
        <v>315</v>
      </c>
      <c r="B1474" t="str">
        <f t="shared" si="91"/>
        <v>X100-51L240.685</v>
      </c>
      <c r="C1474">
        <v>0.6</v>
      </c>
      <c r="D1474">
        <v>85</v>
      </c>
      <c r="E1474">
        <v>0.517845</v>
      </c>
      <c r="F1474">
        <v>39.319200000000002</v>
      </c>
      <c r="G1474">
        <f t="shared" si="88"/>
        <v>9.9724031412306431</v>
      </c>
      <c r="H1474">
        <f t="shared" si="89"/>
        <v>5.9935763888888882</v>
      </c>
      <c r="I1474">
        <f t="shared" si="90"/>
        <v>5.1927804428501618</v>
      </c>
    </row>
    <row r="1475" spans="1:9" x14ac:dyDescent="0.25">
      <c r="A1475" t="s">
        <v>315</v>
      </c>
      <c r="B1475" t="str">
        <f t="shared" si="91"/>
        <v>X100-51L240.690</v>
      </c>
      <c r="C1475">
        <v>0.6</v>
      </c>
      <c r="D1475">
        <v>90</v>
      </c>
      <c r="E1475">
        <v>0.53964900000000005</v>
      </c>
      <c r="F1475">
        <v>40.233600000000003</v>
      </c>
      <c r="G1475">
        <f t="shared" ref="G1475:G1538" si="92">(PI()*(G$1+F1475)^2)/10000-((PI()*(G$1)^2)/10000)</f>
        <v>10.215877288267514</v>
      </c>
      <c r="H1475">
        <f t="shared" ref="H1475:H1538" si="93">E1475/0.0864</f>
        <v>6.2459375000000001</v>
      </c>
      <c r="I1475">
        <f t="shared" ref="I1475:I1538" si="94">E1475/G1475*100</f>
        <v>5.2824538194068094</v>
      </c>
    </row>
    <row r="1476" spans="1:9" x14ac:dyDescent="0.25">
      <c r="A1476" t="s">
        <v>315</v>
      </c>
      <c r="B1476" t="str">
        <f t="shared" si="91"/>
        <v>X100-51L240.695</v>
      </c>
      <c r="C1476">
        <v>0.6</v>
      </c>
      <c r="D1476">
        <v>95</v>
      </c>
      <c r="E1476">
        <v>0.556002</v>
      </c>
      <c r="F1476">
        <v>41.452800000000003</v>
      </c>
      <c r="G1476">
        <f t="shared" si="92"/>
        <v>10.541326702138953</v>
      </c>
      <c r="H1476">
        <f t="shared" si="93"/>
        <v>6.4352083333333328</v>
      </c>
      <c r="I1476">
        <f t="shared" si="94"/>
        <v>5.2744973731549463</v>
      </c>
    </row>
    <row r="1477" spans="1:9" x14ac:dyDescent="0.25">
      <c r="A1477" t="s">
        <v>315</v>
      </c>
      <c r="B1477" t="str">
        <f t="shared" si="91"/>
        <v>X100-51L240.6100</v>
      </c>
      <c r="C1477">
        <v>0.6</v>
      </c>
      <c r="D1477">
        <v>100</v>
      </c>
      <c r="E1477">
        <v>0.57235500000000006</v>
      </c>
      <c r="F1477">
        <v>42.367200000000004</v>
      </c>
      <c r="G1477">
        <f t="shared" si="92"/>
        <v>10.786026675909241</v>
      </c>
      <c r="H1477">
        <f t="shared" si="93"/>
        <v>6.6244791666666671</v>
      </c>
      <c r="I1477">
        <f t="shared" si="94"/>
        <v>5.3064489565779009</v>
      </c>
    </row>
    <row r="1478" spans="1:9" x14ac:dyDescent="0.25">
      <c r="A1478" t="s">
        <v>315</v>
      </c>
      <c r="B1478" t="str">
        <f t="shared" si="91"/>
        <v>X100-51L240.6545</v>
      </c>
      <c r="C1478">
        <v>0.65</v>
      </c>
      <c r="D1478">
        <v>45</v>
      </c>
      <c r="E1478">
        <v>0.44153100000000001</v>
      </c>
      <c r="F1478">
        <v>33.223199999999999</v>
      </c>
      <c r="G1478">
        <f t="shared" si="92"/>
        <v>8.3626678823510403</v>
      </c>
      <c r="H1478">
        <f t="shared" si="93"/>
        <v>5.1103125</v>
      </c>
      <c r="I1478">
        <f t="shared" si="94"/>
        <v>5.2797863817099246</v>
      </c>
    </row>
    <row r="1479" spans="1:9" x14ac:dyDescent="0.25">
      <c r="A1479" t="s">
        <v>315</v>
      </c>
      <c r="B1479" t="str">
        <f t="shared" si="91"/>
        <v>X100-51L240.6550</v>
      </c>
      <c r="C1479">
        <v>0.65</v>
      </c>
      <c r="D1479">
        <v>50</v>
      </c>
      <c r="E1479">
        <v>0.463335</v>
      </c>
      <c r="F1479">
        <v>34.137599999999999</v>
      </c>
      <c r="G1479">
        <f t="shared" si="92"/>
        <v>8.6026396672923866</v>
      </c>
      <c r="H1479">
        <f t="shared" si="93"/>
        <v>5.3626736111111111</v>
      </c>
      <c r="I1479">
        <f t="shared" si="94"/>
        <v>5.3859631220126536</v>
      </c>
    </row>
    <row r="1480" spans="1:9" x14ac:dyDescent="0.25">
      <c r="A1480" t="s">
        <v>315</v>
      </c>
      <c r="B1480" t="str">
        <f t="shared" si="91"/>
        <v>X100-51L240.6555</v>
      </c>
      <c r="C1480">
        <v>0.65</v>
      </c>
      <c r="D1480">
        <v>55</v>
      </c>
      <c r="E1480">
        <v>0.48513899999999999</v>
      </c>
      <c r="F1480">
        <v>35.3568</v>
      </c>
      <c r="G1480">
        <f t="shared" si="92"/>
        <v>8.9234192650364648</v>
      </c>
      <c r="H1480">
        <f t="shared" si="93"/>
        <v>5.6150347222222221</v>
      </c>
      <c r="I1480">
        <f t="shared" si="94"/>
        <v>5.4366940024981281</v>
      </c>
    </row>
    <row r="1481" spans="1:9" x14ac:dyDescent="0.25">
      <c r="A1481" t="s">
        <v>315</v>
      </c>
      <c r="B1481" t="str">
        <f t="shared" si="91"/>
        <v>X100-51L240.6560</v>
      </c>
      <c r="C1481">
        <v>0.65</v>
      </c>
      <c r="D1481">
        <v>60</v>
      </c>
      <c r="E1481">
        <v>0.51239400000000002</v>
      </c>
      <c r="F1481">
        <v>36.576000000000001</v>
      </c>
      <c r="G1481">
        <f t="shared" si="92"/>
        <v>9.2451328260060279</v>
      </c>
      <c r="H1481">
        <f t="shared" si="93"/>
        <v>5.9304861111111107</v>
      </c>
      <c r="I1481">
        <f t="shared" si="94"/>
        <v>5.5423108531081899</v>
      </c>
    </row>
    <row r="1482" spans="1:9" x14ac:dyDescent="0.25">
      <c r="A1482" t="s">
        <v>315</v>
      </c>
      <c r="B1482" t="str">
        <f t="shared" si="91"/>
        <v>X100-51L240.6565</v>
      </c>
      <c r="C1482">
        <v>0.65</v>
      </c>
      <c r="D1482">
        <v>65</v>
      </c>
      <c r="E1482">
        <v>0.53964900000000005</v>
      </c>
      <c r="F1482">
        <v>37.490400000000001</v>
      </c>
      <c r="G1482">
        <f t="shared" si="92"/>
        <v>9.4870309100998966</v>
      </c>
      <c r="H1482">
        <f t="shared" si="93"/>
        <v>6.2459375000000001</v>
      </c>
      <c r="I1482">
        <f t="shared" si="94"/>
        <v>5.6882812453524263</v>
      </c>
    </row>
    <row r="1483" spans="1:9" x14ac:dyDescent="0.25">
      <c r="A1483" t="s">
        <v>315</v>
      </c>
      <c r="B1483" t="str">
        <f t="shared" si="91"/>
        <v>X100-51L240.6570</v>
      </c>
      <c r="C1483">
        <v>0.65</v>
      </c>
      <c r="D1483">
        <v>70</v>
      </c>
      <c r="E1483">
        <v>0.56690399999999996</v>
      </c>
      <c r="F1483">
        <v>38.709600000000002</v>
      </c>
      <c r="G1483">
        <f t="shared" si="92"/>
        <v>9.8103789067140283</v>
      </c>
      <c r="H1483">
        <f t="shared" si="93"/>
        <v>6.5613888888888878</v>
      </c>
      <c r="I1483">
        <f t="shared" si="94"/>
        <v>5.7786147241675048</v>
      </c>
    </row>
    <row r="1484" spans="1:9" x14ac:dyDescent="0.25">
      <c r="A1484" t="s">
        <v>315</v>
      </c>
      <c r="B1484" t="str">
        <f t="shared" si="91"/>
        <v>X100-51L240.6575</v>
      </c>
      <c r="C1484">
        <v>0.65</v>
      </c>
      <c r="D1484">
        <v>75</v>
      </c>
      <c r="E1484">
        <v>0.57780600000000004</v>
      </c>
      <c r="F1484">
        <v>39.624000000000002</v>
      </c>
      <c r="G1484">
        <f t="shared" si="92"/>
        <v>10.053502817541336</v>
      </c>
      <c r="H1484">
        <f t="shared" si="93"/>
        <v>6.6875694444444447</v>
      </c>
      <c r="I1484">
        <f t="shared" si="94"/>
        <v>5.7473102707232053</v>
      </c>
    </row>
    <row r="1485" spans="1:9" x14ac:dyDescent="0.25">
      <c r="A1485" t="s">
        <v>315</v>
      </c>
      <c r="B1485" t="str">
        <f t="shared" si="91"/>
        <v>X100-51L240.6580</v>
      </c>
      <c r="C1485">
        <v>0.65</v>
      </c>
      <c r="D1485">
        <v>80</v>
      </c>
      <c r="E1485">
        <v>0.58870800000000001</v>
      </c>
      <c r="F1485">
        <v>40.538400000000003</v>
      </c>
      <c r="G1485">
        <f t="shared" si="92"/>
        <v>10.297152082682977</v>
      </c>
      <c r="H1485">
        <f t="shared" si="93"/>
        <v>6.8137499999999998</v>
      </c>
      <c r="I1485">
        <f t="shared" si="94"/>
        <v>5.7171924360527555</v>
      </c>
    </row>
    <row r="1486" spans="1:9" x14ac:dyDescent="0.25">
      <c r="A1486" t="s">
        <v>315</v>
      </c>
      <c r="B1486" t="str">
        <f t="shared" si="91"/>
        <v>X100-51L240.6585</v>
      </c>
      <c r="C1486">
        <v>0.65</v>
      </c>
      <c r="D1486">
        <v>85</v>
      </c>
      <c r="E1486">
        <v>0.60506099999999996</v>
      </c>
      <c r="F1486">
        <v>41.757600000000004</v>
      </c>
      <c r="G1486">
        <f t="shared" si="92"/>
        <v>10.622834987360797</v>
      </c>
      <c r="H1486">
        <f t="shared" si="93"/>
        <v>7.0030208333333324</v>
      </c>
      <c r="I1486">
        <f t="shared" si="94"/>
        <v>5.6958523851675222</v>
      </c>
    </row>
    <row r="1487" spans="1:9" x14ac:dyDescent="0.25">
      <c r="A1487" t="s">
        <v>315</v>
      </c>
      <c r="B1487" t="str">
        <f t="shared" si="91"/>
        <v>X100-51L240.6590</v>
      </c>
      <c r="C1487">
        <v>0.65</v>
      </c>
      <c r="D1487">
        <v>90</v>
      </c>
      <c r="E1487">
        <v>0.62141400000000002</v>
      </c>
      <c r="F1487">
        <v>43.281600000000005</v>
      </c>
      <c r="G1487">
        <f t="shared" si="92"/>
        <v>11.031252003993885</v>
      </c>
      <c r="H1487">
        <f t="shared" si="93"/>
        <v>7.1922916666666667</v>
      </c>
      <c r="I1487">
        <f t="shared" si="94"/>
        <v>5.6332137075194719</v>
      </c>
    </row>
    <row r="1488" spans="1:9" x14ac:dyDescent="0.25">
      <c r="A1488" t="s">
        <v>315</v>
      </c>
      <c r="B1488" t="str">
        <f t="shared" si="91"/>
        <v>X100-51L240.6595</v>
      </c>
      <c r="C1488">
        <v>0.65</v>
      </c>
      <c r="D1488">
        <v>95</v>
      </c>
      <c r="E1488">
        <v>0.64321800000000007</v>
      </c>
      <c r="F1488">
        <v>44.500800000000005</v>
      </c>
      <c r="G1488">
        <f t="shared" si="92"/>
        <v>11.359036325928997</v>
      </c>
      <c r="H1488">
        <f t="shared" si="93"/>
        <v>7.4446527777777778</v>
      </c>
      <c r="I1488">
        <f t="shared" si="94"/>
        <v>5.6626106435784687</v>
      </c>
    </row>
    <row r="1489" spans="1:9" x14ac:dyDescent="0.25">
      <c r="A1489" t="s">
        <v>315</v>
      </c>
      <c r="B1489" t="str">
        <f t="shared" si="91"/>
        <v>X100-51L240.65100</v>
      </c>
      <c r="C1489">
        <v>0.65</v>
      </c>
      <c r="D1489">
        <v>100</v>
      </c>
      <c r="E1489">
        <v>0.665022</v>
      </c>
      <c r="F1489">
        <v>45.72</v>
      </c>
      <c r="G1489">
        <f t="shared" si="92"/>
        <v>11.687754611089588</v>
      </c>
      <c r="H1489">
        <f t="shared" si="93"/>
        <v>7.6970138888888888</v>
      </c>
      <c r="I1489">
        <f t="shared" si="94"/>
        <v>5.6899038534656876</v>
      </c>
    </row>
    <row r="1490" spans="1:9" x14ac:dyDescent="0.25">
      <c r="A1490" t="s">
        <v>315</v>
      </c>
      <c r="B1490" t="str">
        <f t="shared" si="91"/>
        <v>X100-51L240.740</v>
      </c>
      <c r="C1490">
        <v>0.7</v>
      </c>
      <c r="D1490">
        <v>40</v>
      </c>
      <c r="E1490">
        <v>0.48513899999999999</v>
      </c>
      <c r="F1490">
        <v>33.223199999999999</v>
      </c>
      <c r="G1490">
        <f t="shared" si="92"/>
        <v>8.3626678823510403</v>
      </c>
      <c r="H1490">
        <f t="shared" si="93"/>
        <v>5.6150347222222221</v>
      </c>
      <c r="I1490">
        <f t="shared" si="94"/>
        <v>5.801246765088683</v>
      </c>
    </row>
    <row r="1491" spans="1:9" x14ac:dyDescent="0.25">
      <c r="A1491" t="s">
        <v>315</v>
      </c>
      <c r="B1491" t="str">
        <f t="shared" si="91"/>
        <v>X100-51L240.745</v>
      </c>
      <c r="C1491">
        <v>0.7</v>
      </c>
      <c r="D1491">
        <v>45</v>
      </c>
      <c r="E1491">
        <v>0.50694300000000003</v>
      </c>
      <c r="F1491">
        <v>34.442399999999999</v>
      </c>
      <c r="G1491">
        <f t="shared" si="92"/>
        <v>8.6827470076760207</v>
      </c>
      <c r="H1491">
        <f t="shared" si="93"/>
        <v>5.8673958333333331</v>
      </c>
      <c r="I1491">
        <f t="shared" si="94"/>
        <v>5.8385093974503093</v>
      </c>
    </row>
    <row r="1492" spans="1:9" x14ac:dyDescent="0.25">
      <c r="A1492" t="s">
        <v>315</v>
      </c>
      <c r="B1492" t="str">
        <f t="shared" si="91"/>
        <v>X100-51L240.750</v>
      </c>
      <c r="C1492">
        <v>0.7</v>
      </c>
      <c r="D1492">
        <v>50</v>
      </c>
      <c r="E1492">
        <v>0.53419800000000006</v>
      </c>
      <c r="F1492">
        <v>35.6616</v>
      </c>
      <c r="G1492">
        <f t="shared" si="92"/>
        <v>9.0037600962264648</v>
      </c>
      <c r="H1492">
        <f t="shared" si="93"/>
        <v>6.1828472222222226</v>
      </c>
      <c r="I1492">
        <f t="shared" si="94"/>
        <v>5.933054571543793</v>
      </c>
    </row>
    <row r="1493" spans="1:9" x14ac:dyDescent="0.25">
      <c r="A1493" t="s">
        <v>315</v>
      </c>
      <c r="B1493" t="str">
        <f t="shared" si="91"/>
        <v>X100-51L240.755</v>
      </c>
      <c r="C1493">
        <v>0.7</v>
      </c>
      <c r="D1493">
        <v>55</v>
      </c>
      <c r="E1493">
        <v>0.56145299999999998</v>
      </c>
      <c r="F1493">
        <v>36.880800000000001</v>
      </c>
      <c r="G1493">
        <f t="shared" si="92"/>
        <v>9.3257071480023868</v>
      </c>
      <c r="H1493">
        <f t="shared" si="93"/>
        <v>6.4982986111111103</v>
      </c>
      <c r="I1493">
        <f t="shared" si="94"/>
        <v>6.0204871447230257</v>
      </c>
    </row>
    <row r="1494" spans="1:9" x14ac:dyDescent="0.25">
      <c r="A1494" t="s">
        <v>315</v>
      </c>
      <c r="B1494" t="str">
        <f t="shared" si="91"/>
        <v>X100-51L240.760</v>
      </c>
      <c r="C1494">
        <v>0.7</v>
      </c>
      <c r="D1494">
        <v>60</v>
      </c>
      <c r="E1494">
        <v>0.58325700000000003</v>
      </c>
      <c r="F1494">
        <v>38.1</v>
      </c>
      <c r="G1494">
        <f t="shared" si="92"/>
        <v>9.6485881630037866</v>
      </c>
      <c r="H1494">
        <f t="shared" si="93"/>
        <v>6.7506597222222222</v>
      </c>
      <c r="I1494">
        <f t="shared" si="94"/>
        <v>6.0449983992105754</v>
      </c>
    </row>
    <row r="1495" spans="1:9" x14ac:dyDescent="0.25">
      <c r="A1495" t="s">
        <v>315</v>
      </c>
      <c r="B1495" t="str">
        <f t="shared" si="91"/>
        <v>X100-51L240.765</v>
      </c>
      <c r="C1495">
        <v>0.7</v>
      </c>
      <c r="D1495">
        <v>65</v>
      </c>
      <c r="E1495">
        <v>0.61051200000000005</v>
      </c>
      <c r="F1495">
        <v>39.319200000000002</v>
      </c>
      <c r="G1495">
        <f t="shared" si="92"/>
        <v>9.9724031412306431</v>
      </c>
      <c r="H1495">
        <f t="shared" si="93"/>
        <v>7.0661111111111117</v>
      </c>
      <c r="I1495">
        <f t="shared" si="94"/>
        <v>6.1220148378865069</v>
      </c>
    </row>
    <row r="1496" spans="1:9" x14ac:dyDescent="0.25">
      <c r="A1496" t="s">
        <v>315</v>
      </c>
      <c r="B1496" t="str">
        <f t="shared" si="91"/>
        <v>X100-51L240.770</v>
      </c>
      <c r="C1496">
        <v>0.7</v>
      </c>
      <c r="D1496">
        <v>70</v>
      </c>
      <c r="E1496">
        <v>0.63776699999999997</v>
      </c>
      <c r="F1496">
        <v>40.538400000000003</v>
      </c>
      <c r="G1496">
        <f t="shared" si="92"/>
        <v>10.297152082682977</v>
      </c>
      <c r="H1496">
        <f t="shared" si="93"/>
        <v>7.3815624999999994</v>
      </c>
      <c r="I1496">
        <f t="shared" si="94"/>
        <v>6.1936251390571515</v>
      </c>
    </row>
    <row r="1497" spans="1:9" x14ac:dyDescent="0.25">
      <c r="A1497" t="s">
        <v>315</v>
      </c>
      <c r="B1497" t="str">
        <f t="shared" si="91"/>
        <v>X100-51L240.775</v>
      </c>
      <c r="C1497">
        <v>0.7</v>
      </c>
      <c r="D1497">
        <v>75</v>
      </c>
      <c r="E1497">
        <v>0.65957100000000002</v>
      </c>
      <c r="F1497">
        <v>41.452800000000003</v>
      </c>
      <c r="G1497">
        <f t="shared" si="92"/>
        <v>10.541326702138953</v>
      </c>
      <c r="H1497">
        <f t="shared" si="93"/>
        <v>7.6339236111111113</v>
      </c>
      <c r="I1497">
        <f t="shared" si="94"/>
        <v>6.2570017858014557</v>
      </c>
    </row>
    <row r="1498" spans="1:9" x14ac:dyDescent="0.25">
      <c r="A1498" t="s">
        <v>315</v>
      </c>
      <c r="B1498" t="str">
        <f t="shared" si="91"/>
        <v>X100-51L240.780</v>
      </c>
      <c r="C1498">
        <v>0.7</v>
      </c>
      <c r="D1498">
        <v>80</v>
      </c>
      <c r="E1498">
        <v>0.68137500000000006</v>
      </c>
      <c r="F1498">
        <v>42.062400000000004</v>
      </c>
      <c r="G1498">
        <f t="shared" si="92"/>
        <v>10.704401645284221</v>
      </c>
      <c r="H1498">
        <f t="shared" si="93"/>
        <v>7.8862847222222223</v>
      </c>
      <c r="I1498">
        <f t="shared" si="94"/>
        <v>6.3653721392281355</v>
      </c>
    </row>
    <row r="1499" spans="1:9" x14ac:dyDescent="0.25">
      <c r="A1499" t="s">
        <v>315</v>
      </c>
      <c r="B1499" t="str">
        <f t="shared" si="91"/>
        <v>X100-51L240.785</v>
      </c>
      <c r="C1499">
        <v>0.7</v>
      </c>
      <c r="D1499">
        <v>85</v>
      </c>
      <c r="E1499">
        <v>0.69772800000000001</v>
      </c>
      <c r="F1499">
        <v>43.586400000000005</v>
      </c>
      <c r="G1499">
        <f t="shared" si="92"/>
        <v>11.113110525425263</v>
      </c>
      <c r="H1499">
        <f t="shared" si="93"/>
        <v>8.0755555555555549</v>
      </c>
      <c r="I1499">
        <f t="shared" si="94"/>
        <v>6.2784222149477831</v>
      </c>
    </row>
    <row r="1500" spans="1:9" x14ac:dyDescent="0.25">
      <c r="A1500" t="s">
        <v>315</v>
      </c>
      <c r="B1500" t="str">
        <f t="shared" si="91"/>
        <v>X100-51L240.790</v>
      </c>
      <c r="C1500">
        <v>0.7</v>
      </c>
      <c r="D1500">
        <v>90</v>
      </c>
      <c r="E1500">
        <v>0.71953200000000006</v>
      </c>
      <c r="F1500">
        <v>44.500800000000005</v>
      </c>
      <c r="G1500">
        <f t="shared" si="92"/>
        <v>11.359036325928997</v>
      </c>
      <c r="H1500">
        <f t="shared" si="93"/>
        <v>8.3279166666666669</v>
      </c>
      <c r="I1500">
        <f t="shared" si="94"/>
        <v>6.3344458046809997</v>
      </c>
    </row>
    <row r="1501" spans="1:9" x14ac:dyDescent="0.25">
      <c r="A1501" t="s">
        <v>315</v>
      </c>
      <c r="B1501" t="str">
        <f t="shared" si="91"/>
        <v>X100-51L240.795</v>
      </c>
      <c r="C1501">
        <v>0.7</v>
      </c>
      <c r="D1501">
        <v>95</v>
      </c>
      <c r="E1501">
        <v>0.74678699999999998</v>
      </c>
      <c r="F1501">
        <v>46.024799999999999</v>
      </c>
      <c r="G1501">
        <f t="shared" si="92"/>
        <v>11.770080114133719</v>
      </c>
      <c r="H1501">
        <f t="shared" si="93"/>
        <v>8.6433680555555554</v>
      </c>
      <c r="I1501">
        <f t="shared" si="94"/>
        <v>6.3447911378550854</v>
      </c>
    </row>
    <row r="1502" spans="1:9" x14ac:dyDescent="0.25">
      <c r="A1502" t="s">
        <v>315</v>
      </c>
      <c r="B1502" t="str">
        <f t="shared" si="91"/>
        <v>X100-51L240.7100</v>
      </c>
      <c r="C1502">
        <v>0.7</v>
      </c>
      <c r="D1502">
        <v>100</v>
      </c>
      <c r="E1502">
        <v>0.76859100000000002</v>
      </c>
      <c r="F1502">
        <v>47.244</v>
      </c>
      <c r="G1502">
        <f t="shared" si="92"/>
        <v>12.099965853326161</v>
      </c>
      <c r="H1502">
        <f t="shared" si="93"/>
        <v>8.8957291666666674</v>
      </c>
      <c r="I1502">
        <f t="shared" si="94"/>
        <v>6.3520096611571999</v>
      </c>
    </row>
    <row r="1503" spans="1:9" x14ac:dyDescent="0.25">
      <c r="A1503" t="s">
        <v>315</v>
      </c>
      <c r="B1503" t="str">
        <f t="shared" si="91"/>
        <v>X100-51L240.7540</v>
      </c>
      <c r="C1503">
        <v>0.75</v>
      </c>
      <c r="D1503">
        <v>40</v>
      </c>
      <c r="E1503">
        <v>0.55055100000000001</v>
      </c>
      <c r="F1503">
        <v>34.747199999999999</v>
      </c>
      <c r="G1503">
        <f t="shared" si="92"/>
        <v>8.7629127207612498</v>
      </c>
      <c r="H1503">
        <f t="shared" si="93"/>
        <v>6.3721180555555552</v>
      </c>
      <c r="I1503">
        <f t="shared" si="94"/>
        <v>6.2827397412691877</v>
      </c>
    </row>
    <row r="1504" spans="1:9" x14ac:dyDescent="0.25">
      <c r="A1504" t="s">
        <v>315</v>
      </c>
      <c r="B1504" t="str">
        <f t="shared" si="91"/>
        <v>X100-51L240.7545</v>
      </c>
      <c r="C1504">
        <v>0.75</v>
      </c>
      <c r="D1504">
        <v>45</v>
      </c>
      <c r="E1504">
        <v>0.58325700000000003</v>
      </c>
      <c r="F1504">
        <v>35.9664</v>
      </c>
      <c r="G1504">
        <f t="shared" si="92"/>
        <v>9.0841593001180527</v>
      </c>
      <c r="H1504">
        <f t="shared" si="93"/>
        <v>6.7506597222222222</v>
      </c>
      <c r="I1504">
        <f t="shared" si="94"/>
        <v>6.4205941433944282</v>
      </c>
    </row>
    <row r="1505" spans="1:9" x14ac:dyDescent="0.25">
      <c r="A1505" t="s">
        <v>315</v>
      </c>
      <c r="B1505" t="str">
        <f t="shared" si="91"/>
        <v>X100-51L240.7550</v>
      </c>
      <c r="C1505">
        <v>0.75</v>
      </c>
      <c r="D1505">
        <v>50</v>
      </c>
      <c r="E1505">
        <v>0.61051200000000005</v>
      </c>
      <c r="F1505">
        <v>37.185600000000001</v>
      </c>
      <c r="G1505">
        <f t="shared" si="92"/>
        <v>9.4063398427003477</v>
      </c>
      <c r="H1505">
        <f t="shared" si="93"/>
        <v>7.0661111111111117</v>
      </c>
      <c r="I1505">
        <f t="shared" si="94"/>
        <v>6.4904310306604431</v>
      </c>
    </row>
    <row r="1506" spans="1:9" x14ac:dyDescent="0.25">
      <c r="A1506" t="s">
        <v>315</v>
      </c>
      <c r="B1506" t="str">
        <f t="shared" si="91"/>
        <v>X100-51L240.7555</v>
      </c>
      <c r="C1506">
        <v>0.75</v>
      </c>
      <c r="D1506">
        <v>55</v>
      </c>
      <c r="E1506">
        <v>0.64321800000000007</v>
      </c>
      <c r="F1506">
        <v>38.1</v>
      </c>
      <c r="G1506">
        <f t="shared" si="92"/>
        <v>9.6485881630037866</v>
      </c>
      <c r="H1506">
        <f t="shared" si="93"/>
        <v>7.4446527777777778</v>
      </c>
      <c r="I1506">
        <f t="shared" si="94"/>
        <v>6.6664468327742812</v>
      </c>
    </row>
    <row r="1507" spans="1:9" x14ac:dyDescent="0.25">
      <c r="A1507" t="s">
        <v>315</v>
      </c>
      <c r="B1507" t="str">
        <f t="shared" si="91"/>
        <v>X100-51L240.7560</v>
      </c>
      <c r="C1507">
        <v>0.75</v>
      </c>
      <c r="D1507">
        <v>60</v>
      </c>
      <c r="E1507">
        <v>0.67047299999999999</v>
      </c>
      <c r="F1507">
        <v>38.709600000000002</v>
      </c>
      <c r="G1507">
        <f t="shared" si="92"/>
        <v>9.8103789067140283</v>
      </c>
      <c r="H1507">
        <f t="shared" si="93"/>
        <v>7.7601041666666664</v>
      </c>
      <c r="I1507">
        <f t="shared" si="94"/>
        <v>6.8343231833904143</v>
      </c>
    </row>
    <row r="1508" spans="1:9" x14ac:dyDescent="0.25">
      <c r="A1508" t="s">
        <v>315</v>
      </c>
      <c r="B1508" t="str">
        <f t="shared" si="91"/>
        <v>X100-51L240.7565</v>
      </c>
      <c r="C1508">
        <v>0.75</v>
      </c>
      <c r="D1508">
        <v>65</v>
      </c>
      <c r="E1508">
        <v>0.69772800000000001</v>
      </c>
      <c r="F1508">
        <v>39.928800000000003</v>
      </c>
      <c r="G1508">
        <f t="shared" si="92"/>
        <v>10.134660866553624</v>
      </c>
      <c r="H1508">
        <f t="shared" si="93"/>
        <v>8.0755555555555549</v>
      </c>
      <c r="I1508">
        <f t="shared" si="94"/>
        <v>6.8845717600935208</v>
      </c>
    </row>
    <row r="1509" spans="1:9" x14ac:dyDescent="0.25">
      <c r="A1509" t="s">
        <v>315</v>
      </c>
      <c r="B1509" t="str">
        <f t="shared" si="91"/>
        <v>X100-51L240.7570</v>
      </c>
      <c r="C1509">
        <v>0.75</v>
      </c>
      <c r="D1509">
        <v>70</v>
      </c>
      <c r="E1509">
        <v>0.72498300000000004</v>
      </c>
      <c r="F1509">
        <v>41.148000000000003</v>
      </c>
      <c r="G1509">
        <f t="shared" si="92"/>
        <v>10.459876789618697</v>
      </c>
      <c r="H1509">
        <f t="shared" si="93"/>
        <v>8.3910069444444453</v>
      </c>
      <c r="I1509">
        <f t="shared" si="94"/>
        <v>6.9310854667001154</v>
      </c>
    </row>
    <row r="1510" spans="1:9" x14ac:dyDescent="0.25">
      <c r="A1510" t="s">
        <v>315</v>
      </c>
      <c r="B1510" t="str">
        <f t="shared" ref="B1510:B1573" si="95">A1510&amp;C1510&amp;D1510</f>
        <v>X100-51L240.7575</v>
      </c>
      <c r="C1510">
        <v>0.75</v>
      </c>
      <c r="D1510">
        <v>75</v>
      </c>
      <c r="E1510">
        <v>0.75223799999999996</v>
      </c>
      <c r="F1510">
        <v>42.367200000000004</v>
      </c>
      <c r="G1510">
        <f t="shared" si="92"/>
        <v>10.786026675909241</v>
      </c>
      <c r="H1510">
        <f t="shared" si="93"/>
        <v>8.7064583333333321</v>
      </c>
      <c r="I1510">
        <f t="shared" si="94"/>
        <v>6.9741900572166697</v>
      </c>
    </row>
    <row r="1511" spans="1:9" x14ac:dyDescent="0.25">
      <c r="A1511" t="s">
        <v>315</v>
      </c>
      <c r="B1511" t="str">
        <f t="shared" si="95"/>
        <v>X100-51L240.7580</v>
      </c>
      <c r="C1511">
        <v>0.75</v>
      </c>
      <c r="D1511">
        <v>80</v>
      </c>
      <c r="E1511">
        <v>0.77404200000000001</v>
      </c>
      <c r="F1511">
        <v>43.586400000000005</v>
      </c>
      <c r="G1511">
        <f t="shared" si="92"/>
        <v>11.113110525425263</v>
      </c>
      <c r="H1511">
        <f t="shared" si="93"/>
        <v>8.958819444444444</v>
      </c>
      <c r="I1511">
        <f t="shared" si="94"/>
        <v>6.9651246447076973</v>
      </c>
    </row>
    <row r="1512" spans="1:9" x14ac:dyDescent="0.25">
      <c r="A1512" t="s">
        <v>315</v>
      </c>
      <c r="B1512" t="str">
        <f t="shared" si="95"/>
        <v>X100-51L240.7585</v>
      </c>
      <c r="C1512">
        <v>0.75</v>
      </c>
      <c r="D1512">
        <v>85</v>
      </c>
      <c r="E1512">
        <v>0.79584600000000005</v>
      </c>
      <c r="F1512">
        <v>44.805600000000005</v>
      </c>
      <c r="G1512">
        <f t="shared" si="92"/>
        <v>11.441128338166763</v>
      </c>
      <c r="H1512">
        <f t="shared" si="93"/>
        <v>9.2111805555555559</v>
      </c>
      <c r="I1512">
        <f t="shared" si="94"/>
        <v>6.9560097262882401</v>
      </c>
    </row>
    <row r="1513" spans="1:9" x14ac:dyDescent="0.25">
      <c r="A1513" t="s">
        <v>315</v>
      </c>
      <c r="B1513" t="str">
        <f t="shared" si="95"/>
        <v>X100-51L240.7590</v>
      </c>
      <c r="C1513">
        <v>0.75</v>
      </c>
      <c r="D1513">
        <v>90</v>
      </c>
      <c r="E1513">
        <v>0.82310099999999997</v>
      </c>
      <c r="F1513">
        <v>46.329599999999999</v>
      </c>
      <c r="G1513">
        <f t="shared" si="92"/>
        <v>11.852463989879446</v>
      </c>
      <c r="H1513">
        <f t="shared" si="93"/>
        <v>9.5266319444444427</v>
      </c>
      <c r="I1513">
        <f t="shared" si="94"/>
        <v>6.9445560071123404</v>
      </c>
    </row>
    <row r="1514" spans="1:9" x14ac:dyDescent="0.25">
      <c r="A1514" t="s">
        <v>315</v>
      </c>
      <c r="B1514" t="str">
        <f t="shared" si="95"/>
        <v>X100-51L240.7595</v>
      </c>
      <c r="C1514">
        <v>0.75</v>
      </c>
      <c r="D1514">
        <v>95</v>
      </c>
      <c r="E1514">
        <v>0.84490500000000002</v>
      </c>
      <c r="F1514">
        <v>47.5488</v>
      </c>
      <c r="G1514">
        <f t="shared" si="92"/>
        <v>12.182583219878246</v>
      </c>
      <c r="H1514">
        <f t="shared" si="93"/>
        <v>9.7789930555555546</v>
      </c>
      <c r="I1514">
        <f t="shared" si="94"/>
        <v>6.9353517620250997</v>
      </c>
    </row>
    <row r="1515" spans="1:9" x14ac:dyDescent="0.25">
      <c r="A1515" t="s">
        <v>315</v>
      </c>
      <c r="B1515" t="str">
        <f t="shared" si="95"/>
        <v>X100-51L240.75100</v>
      </c>
      <c r="C1515">
        <v>0.75</v>
      </c>
      <c r="D1515">
        <v>100</v>
      </c>
      <c r="E1515">
        <v>0.87216000000000005</v>
      </c>
      <c r="F1515">
        <v>49.072800000000001</v>
      </c>
      <c r="G1515">
        <f t="shared" si="92"/>
        <v>12.596545643162571</v>
      </c>
      <c r="H1515">
        <f t="shared" si="93"/>
        <v>10.094444444444445</v>
      </c>
      <c r="I1515">
        <f t="shared" si="94"/>
        <v>6.9238029592137442</v>
      </c>
    </row>
    <row r="1516" spans="1:9" x14ac:dyDescent="0.25">
      <c r="A1516" t="s">
        <v>315</v>
      </c>
      <c r="B1516" t="str">
        <f t="shared" si="95"/>
        <v>X100-51L240.840</v>
      </c>
      <c r="C1516">
        <v>0.8</v>
      </c>
      <c r="D1516">
        <v>40</v>
      </c>
      <c r="E1516">
        <v>0.62686500000000001</v>
      </c>
      <c r="F1516">
        <v>35.9664</v>
      </c>
      <c r="G1516">
        <f t="shared" si="92"/>
        <v>9.0841593001180527</v>
      </c>
      <c r="H1516">
        <f t="shared" si="93"/>
        <v>7.2553819444444443</v>
      </c>
      <c r="I1516">
        <f t="shared" si="94"/>
        <v>6.9006385653304605</v>
      </c>
    </row>
    <row r="1517" spans="1:9" x14ac:dyDescent="0.25">
      <c r="A1517" t="s">
        <v>315</v>
      </c>
      <c r="B1517" t="str">
        <f t="shared" si="95"/>
        <v>X100-51L240.845</v>
      </c>
      <c r="C1517">
        <v>0.8</v>
      </c>
      <c r="D1517">
        <v>45</v>
      </c>
      <c r="E1517">
        <v>0.69227700000000003</v>
      </c>
      <c r="F1517">
        <v>37.185600000000001</v>
      </c>
      <c r="G1517">
        <f t="shared" si="92"/>
        <v>9.4063398427003477</v>
      </c>
      <c r="H1517">
        <f t="shared" si="93"/>
        <v>8.0124652777777783</v>
      </c>
      <c r="I1517">
        <f t="shared" si="94"/>
        <v>7.3596851865524657</v>
      </c>
    </row>
    <row r="1518" spans="1:9" x14ac:dyDescent="0.25">
      <c r="A1518" t="s">
        <v>315</v>
      </c>
      <c r="B1518" t="str">
        <f t="shared" si="95"/>
        <v>X100-51L240.850</v>
      </c>
      <c r="C1518">
        <v>0.8</v>
      </c>
      <c r="D1518">
        <v>50</v>
      </c>
      <c r="E1518">
        <v>0.69227700000000003</v>
      </c>
      <c r="F1518">
        <v>38.404800000000002</v>
      </c>
      <c r="G1518">
        <f t="shared" si="92"/>
        <v>9.7294543485080993</v>
      </c>
      <c r="H1518">
        <f t="shared" si="93"/>
        <v>8.0124652777777783</v>
      </c>
      <c r="I1518">
        <f t="shared" si="94"/>
        <v>7.1152705506671383</v>
      </c>
    </row>
    <row r="1519" spans="1:9" x14ac:dyDescent="0.25">
      <c r="A1519" t="s">
        <v>315</v>
      </c>
      <c r="B1519" t="str">
        <f t="shared" si="95"/>
        <v>X100-51L240.855</v>
      </c>
      <c r="C1519">
        <v>0.8</v>
      </c>
      <c r="D1519">
        <v>55</v>
      </c>
      <c r="E1519">
        <v>0.72498300000000004</v>
      </c>
      <c r="F1519">
        <v>39.624000000000002</v>
      </c>
      <c r="G1519">
        <f t="shared" si="92"/>
        <v>10.053502817541336</v>
      </c>
      <c r="H1519">
        <f t="shared" si="93"/>
        <v>8.3910069444444453</v>
      </c>
      <c r="I1519">
        <f t="shared" si="94"/>
        <v>7.2112477925111911</v>
      </c>
    </row>
    <row r="1520" spans="1:9" x14ac:dyDescent="0.25">
      <c r="A1520" t="s">
        <v>315</v>
      </c>
      <c r="B1520" t="str">
        <f t="shared" si="95"/>
        <v>X100-51L240.860</v>
      </c>
      <c r="C1520">
        <v>0.8</v>
      </c>
      <c r="D1520">
        <v>60</v>
      </c>
      <c r="E1520">
        <v>0.76314000000000004</v>
      </c>
      <c r="F1520">
        <v>40.843200000000003</v>
      </c>
      <c r="G1520">
        <f t="shared" si="92"/>
        <v>10.378485249800043</v>
      </c>
      <c r="H1520">
        <f t="shared" si="93"/>
        <v>8.8326388888888889</v>
      </c>
      <c r="I1520">
        <f t="shared" si="94"/>
        <v>7.3530961564425121</v>
      </c>
    </row>
    <row r="1521" spans="1:9" x14ac:dyDescent="0.25">
      <c r="A1521" t="s">
        <v>315</v>
      </c>
      <c r="B1521" t="str">
        <f t="shared" si="95"/>
        <v>X100-51L240.865</v>
      </c>
      <c r="C1521">
        <v>0.8</v>
      </c>
      <c r="D1521">
        <v>65</v>
      </c>
      <c r="E1521">
        <v>0.79584600000000005</v>
      </c>
      <c r="F1521">
        <v>42.062400000000004</v>
      </c>
      <c r="G1521">
        <f t="shared" si="92"/>
        <v>10.704401645284221</v>
      </c>
      <c r="H1521">
        <f t="shared" si="93"/>
        <v>9.2111805555555559</v>
      </c>
      <c r="I1521">
        <f t="shared" si="94"/>
        <v>7.4347546586184627</v>
      </c>
    </row>
    <row r="1522" spans="1:9" x14ac:dyDescent="0.25">
      <c r="A1522" t="s">
        <v>315</v>
      </c>
      <c r="B1522" t="str">
        <f t="shared" si="95"/>
        <v>X100-51L240.870</v>
      </c>
      <c r="C1522">
        <v>0.8</v>
      </c>
      <c r="D1522">
        <v>70</v>
      </c>
      <c r="E1522">
        <v>0.82310099999999997</v>
      </c>
      <c r="F1522">
        <v>43.281600000000005</v>
      </c>
      <c r="G1522">
        <f t="shared" si="92"/>
        <v>11.031252003993885</v>
      </c>
      <c r="H1522">
        <f t="shared" si="93"/>
        <v>9.5266319444444427</v>
      </c>
      <c r="I1522">
        <f t="shared" si="94"/>
        <v>7.4615374546968445</v>
      </c>
    </row>
    <row r="1523" spans="1:9" x14ac:dyDescent="0.25">
      <c r="A1523" t="s">
        <v>315</v>
      </c>
      <c r="B1523" t="str">
        <f t="shared" si="95"/>
        <v>X100-51L240.875</v>
      </c>
      <c r="C1523">
        <v>0.8</v>
      </c>
      <c r="D1523">
        <v>75</v>
      </c>
      <c r="E1523">
        <v>0.85580699999999998</v>
      </c>
      <c r="F1523">
        <v>44.196000000000005</v>
      </c>
      <c r="G1523">
        <f t="shared" si="92"/>
        <v>11.277002686392827</v>
      </c>
      <c r="H1523">
        <f t="shared" si="93"/>
        <v>9.9051736111111097</v>
      </c>
      <c r="I1523">
        <f t="shared" si="94"/>
        <v>7.5889580219098711</v>
      </c>
    </row>
    <row r="1524" spans="1:9" x14ac:dyDescent="0.25">
      <c r="A1524" t="s">
        <v>315</v>
      </c>
      <c r="B1524" t="str">
        <f t="shared" si="95"/>
        <v>X100-51L240.880</v>
      </c>
      <c r="C1524">
        <v>0.8</v>
      </c>
      <c r="D1524">
        <v>80</v>
      </c>
      <c r="E1524">
        <v>0.88306200000000001</v>
      </c>
      <c r="F1524">
        <v>44.805600000000005</v>
      </c>
      <c r="G1524">
        <f t="shared" si="92"/>
        <v>11.441128338166763</v>
      </c>
      <c r="H1524">
        <f t="shared" si="93"/>
        <v>10.220625</v>
      </c>
      <c r="I1524">
        <f t="shared" si="94"/>
        <v>7.7183121620458541</v>
      </c>
    </row>
    <row r="1525" spans="1:9" x14ac:dyDescent="0.25">
      <c r="A1525" t="s">
        <v>315</v>
      </c>
      <c r="B1525" t="str">
        <f t="shared" si="95"/>
        <v>X100-51L240.885</v>
      </c>
      <c r="C1525">
        <v>0.8</v>
      </c>
      <c r="D1525">
        <v>85</v>
      </c>
      <c r="E1525">
        <v>0.91031700000000004</v>
      </c>
      <c r="F1525">
        <v>46.024799999999999</v>
      </c>
      <c r="G1525">
        <f t="shared" si="92"/>
        <v>11.770080114133719</v>
      </c>
      <c r="H1525">
        <f t="shared" si="93"/>
        <v>10.536076388888889</v>
      </c>
      <c r="I1525">
        <f t="shared" si="94"/>
        <v>7.7341614600131336</v>
      </c>
    </row>
    <row r="1526" spans="1:9" x14ac:dyDescent="0.25">
      <c r="A1526" t="s">
        <v>315</v>
      </c>
      <c r="B1526" t="str">
        <f t="shared" si="95"/>
        <v>X100-51L240.890</v>
      </c>
      <c r="C1526">
        <v>0.8</v>
      </c>
      <c r="D1526">
        <v>90</v>
      </c>
      <c r="E1526">
        <v>0.93757200000000007</v>
      </c>
      <c r="F1526">
        <v>46.9392</v>
      </c>
      <c r="G1526">
        <f t="shared" si="92"/>
        <v>12.017406859475663</v>
      </c>
      <c r="H1526">
        <f t="shared" si="93"/>
        <v>10.851527777777777</v>
      </c>
      <c r="I1526">
        <f t="shared" si="94"/>
        <v>7.8017829550368374</v>
      </c>
    </row>
    <row r="1527" spans="1:9" x14ac:dyDescent="0.25">
      <c r="A1527" t="s">
        <v>315</v>
      </c>
      <c r="B1527" t="str">
        <f t="shared" si="95"/>
        <v>X100-51L240.895</v>
      </c>
      <c r="C1527">
        <v>0.8</v>
      </c>
      <c r="D1527">
        <v>95</v>
      </c>
      <c r="E1527">
        <v>0.97027799999999997</v>
      </c>
      <c r="F1527">
        <v>48.1584</v>
      </c>
      <c r="G1527">
        <f t="shared" si="92"/>
        <v>12.347993071087203</v>
      </c>
      <c r="H1527">
        <f t="shared" si="93"/>
        <v>11.230069444444444</v>
      </c>
      <c r="I1527">
        <f t="shared" si="94"/>
        <v>7.8577789476729105</v>
      </c>
    </row>
    <row r="1528" spans="1:9" x14ac:dyDescent="0.25">
      <c r="A1528" t="s">
        <v>315</v>
      </c>
      <c r="B1528" t="str">
        <f t="shared" si="95"/>
        <v>X100-51L240.8100</v>
      </c>
      <c r="C1528">
        <v>0.8</v>
      </c>
      <c r="D1528">
        <v>100</v>
      </c>
      <c r="E1528">
        <v>0.997533</v>
      </c>
      <c r="F1528">
        <v>49.377600000000001</v>
      </c>
      <c r="G1528">
        <f t="shared" si="92"/>
        <v>12.67951324592422</v>
      </c>
      <c r="H1528">
        <f t="shared" si="93"/>
        <v>11.545520833333333</v>
      </c>
      <c r="I1528">
        <f t="shared" si="94"/>
        <v>7.8672815008939967</v>
      </c>
    </row>
    <row r="1529" spans="1:9" x14ac:dyDescent="0.25">
      <c r="A1529" t="s">
        <v>315</v>
      </c>
      <c r="B1529" t="str">
        <f t="shared" si="95"/>
        <v>X100-51L240.8540</v>
      </c>
      <c r="C1529">
        <v>0.85</v>
      </c>
      <c r="D1529">
        <v>40</v>
      </c>
      <c r="E1529">
        <v>0.71408099999999997</v>
      </c>
      <c r="F1529">
        <v>38.709600000000002</v>
      </c>
      <c r="G1529">
        <f t="shared" si="92"/>
        <v>9.8103789067140283</v>
      </c>
      <c r="H1529">
        <f t="shared" si="93"/>
        <v>8.2648263888888884</v>
      </c>
      <c r="I1529">
        <f t="shared" si="94"/>
        <v>7.2788320083263773</v>
      </c>
    </row>
    <row r="1530" spans="1:9" x14ac:dyDescent="0.25">
      <c r="A1530" t="s">
        <v>315</v>
      </c>
      <c r="B1530" t="str">
        <f t="shared" si="95"/>
        <v>X100-51L240.8545</v>
      </c>
      <c r="C1530">
        <v>0.85</v>
      </c>
      <c r="D1530">
        <v>45</v>
      </c>
      <c r="E1530">
        <v>0.75768900000000006</v>
      </c>
      <c r="F1530">
        <v>40.233600000000003</v>
      </c>
      <c r="G1530">
        <f t="shared" si="92"/>
        <v>10.215877288267514</v>
      </c>
      <c r="H1530">
        <f t="shared" si="93"/>
        <v>8.7695486111111105</v>
      </c>
      <c r="I1530">
        <f t="shared" si="94"/>
        <v>7.4167785949247111</v>
      </c>
    </row>
    <row r="1531" spans="1:9" x14ac:dyDescent="0.25">
      <c r="A1531" t="s">
        <v>315</v>
      </c>
      <c r="B1531" t="str">
        <f t="shared" si="95"/>
        <v>X100-51L240.8550</v>
      </c>
      <c r="C1531">
        <v>0.85</v>
      </c>
      <c r="D1531">
        <v>50</v>
      </c>
      <c r="E1531">
        <v>0.80129700000000004</v>
      </c>
      <c r="F1531">
        <v>41.452800000000003</v>
      </c>
      <c r="G1531">
        <f t="shared" si="92"/>
        <v>10.541326702138953</v>
      </c>
      <c r="H1531">
        <f t="shared" si="93"/>
        <v>9.2742708333333326</v>
      </c>
      <c r="I1531">
        <f t="shared" si="94"/>
        <v>7.6014815083703642</v>
      </c>
    </row>
    <row r="1532" spans="1:9" x14ac:dyDescent="0.25">
      <c r="A1532" t="s">
        <v>315</v>
      </c>
      <c r="B1532" t="str">
        <f t="shared" si="95"/>
        <v>X100-51L240.8555</v>
      </c>
      <c r="C1532">
        <v>0.85</v>
      </c>
      <c r="D1532">
        <v>55</v>
      </c>
      <c r="E1532">
        <v>0.83945400000000003</v>
      </c>
      <c r="F1532">
        <v>42.367200000000004</v>
      </c>
      <c r="G1532">
        <f t="shared" si="92"/>
        <v>10.786026675909241</v>
      </c>
      <c r="H1532">
        <f t="shared" si="93"/>
        <v>9.715902777777778</v>
      </c>
      <c r="I1532">
        <f t="shared" si="94"/>
        <v>7.7827918029809222</v>
      </c>
    </row>
    <row r="1533" spans="1:9" x14ac:dyDescent="0.25">
      <c r="A1533" t="s">
        <v>315</v>
      </c>
      <c r="B1533" t="str">
        <f t="shared" si="95"/>
        <v>X100-51L240.8560</v>
      </c>
      <c r="C1533">
        <v>0.85</v>
      </c>
      <c r="D1533">
        <v>60</v>
      </c>
      <c r="E1533">
        <v>0.87216000000000005</v>
      </c>
      <c r="F1533">
        <v>43.586400000000005</v>
      </c>
      <c r="G1533">
        <f t="shared" si="92"/>
        <v>11.113110525425263</v>
      </c>
      <c r="H1533">
        <f t="shared" si="93"/>
        <v>10.094444444444445</v>
      </c>
      <c r="I1533">
        <f t="shared" si="94"/>
        <v>7.8480277686847284</v>
      </c>
    </row>
    <row r="1534" spans="1:9" x14ac:dyDescent="0.25">
      <c r="A1534" t="s">
        <v>315</v>
      </c>
      <c r="B1534" t="str">
        <f t="shared" si="95"/>
        <v>X100-51L240.8565</v>
      </c>
      <c r="C1534">
        <v>0.85</v>
      </c>
      <c r="D1534">
        <v>65</v>
      </c>
      <c r="E1534">
        <v>0.91031700000000004</v>
      </c>
      <c r="F1534">
        <v>45.110400000000006</v>
      </c>
      <c r="G1534">
        <f t="shared" si="92"/>
        <v>11.52327872310611</v>
      </c>
      <c r="H1534">
        <f t="shared" si="93"/>
        <v>10.536076388888889</v>
      </c>
      <c r="I1534">
        <f t="shared" si="94"/>
        <v>7.8998089161434724</v>
      </c>
    </row>
    <row r="1535" spans="1:9" x14ac:dyDescent="0.25">
      <c r="A1535" t="s">
        <v>315</v>
      </c>
      <c r="B1535" t="str">
        <f t="shared" si="95"/>
        <v>X100-51L240.8570</v>
      </c>
      <c r="C1535">
        <v>0.85</v>
      </c>
      <c r="D1535">
        <v>70</v>
      </c>
      <c r="E1535">
        <v>0.94302300000000006</v>
      </c>
      <c r="F1535">
        <v>45.72</v>
      </c>
      <c r="G1535">
        <f t="shared" si="92"/>
        <v>11.687754611089588</v>
      </c>
      <c r="H1535">
        <f t="shared" si="93"/>
        <v>10.914618055555556</v>
      </c>
      <c r="I1535">
        <f t="shared" si="94"/>
        <v>8.0684702184390478</v>
      </c>
    </row>
    <row r="1536" spans="1:9" x14ac:dyDescent="0.25">
      <c r="A1536" t="s">
        <v>315</v>
      </c>
      <c r="B1536" t="str">
        <f t="shared" si="95"/>
        <v>X100-51L240.8575</v>
      </c>
      <c r="C1536">
        <v>0.85</v>
      </c>
      <c r="D1536">
        <v>75</v>
      </c>
      <c r="E1536">
        <v>0.97572900000000007</v>
      </c>
      <c r="F1536">
        <v>46.9392</v>
      </c>
      <c r="G1536">
        <f t="shared" si="92"/>
        <v>12.017406859475663</v>
      </c>
      <c r="H1536">
        <f t="shared" si="93"/>
        <v>11.293159722222223</v>
      </c>
      <c r="I1536">
        <f t="shared" si="94"/>
        <v>8.1192973776255464</v>
      </c>
    </row>
    <row r="1537" spans="1:9" x14ac:dyDescent="0.25">
      <c r="A1537" t="s">
        <v>315</v>
      </c>
      <c r="B1537" t="str">
        <f t="shared" si="95"/>
        <v>X100-51L240.8580</v>
      </c>
      <c r="C1537">
        <v>0.85</v>
      </c>
      <c r="D1537">
        <v>80</v>
      </c>
      <c r="E1537">
        <v>1.008435</v>
      </c>
      <c r="F1537">
        <v>47.5488</v>
      </c>
      <c r="G1537">
        <f t="shared" si="92"/>
        <v>12.182583219878246</v>
      </c>
      <c r="H1537">
        <f t="shared" si="93"/>
        <v>11.671701388888888</v>
      </c>
      <c r="I1537">
        <f t="shared" si="94"/>
        <v>8.2776779095138284</v>
      </c>
    </row>
    <row r="1538" spans="1:9" x14ac:dyDescent="0.25">
      <c r="A1538" t="s">
        <v>315</v>
      </c>
      <c r="B1538" t="str">
        <f t="shared" si="95"/>
        <v>X100-51L240.8585</v>
      </c>
      <c r="C1538">
        <v>0.85</v>
      </c>
      <c r="D1538">
        <v>85</v>
      </c>
      <c r="E1538">
        <v>1.0411410000000001</v>
      </c>
      <c r="F1538">
        <v>48.768000000000001</v>
      </c>
      <c r="G1538">
        <f t="shared" si="92"/>
        <v>12.513636413102525</v>
      </c>
      <c r="H1538">
        <f t="shared" si="93"/>
        <v>12.050243055555557</v>
      </c>
      <c r="I1538">
        <f t="shared" si="94"/>
        <v>8.3200515472054413</v>
      </c>
    </row>
    <row r="1539" spans="1:9" x14ac:dyDescent="0.25">
      <c r="A1539" t="s">
        <v>315</v>
      </c>
      <c r="B1539" t="str">
        <f t="shared" si="95"/>
        <v>X100-51L240.8590</v>
      </c>
      <c r="C1539">
        <v>0.85</v>
      </c>
      <c r="D1539">
        <v>90</v>
      </c>
      <c r="E1539">
        <v>1.073847</v>
      </c>
      <c r="F1539">
        <v>49.377600000000001</v>
      </c>
      <c r="G1539">
        <f t="shared" ref="G1539:G1602" si="96">(PI()*(G$1+F1539)^2)/10000-((PI()*(G$1)^2)/10000)</f>
        <v>12.67951324592422</v>
      </c>
      <c r="H1539">
        <f t="shared" ref="H1539:H1602" si="97">E1539/0.0864</f>
        <v>12.428784722222222</v>
      </c>
      <c r="I1539">
        <f t="shared" ref="I1539:I1602" si="98">E1539/G1539*100</f>
        <v>8.4691500310170333</v>
      </c>
    </row>
    <row r="1540" spans="1:9" x14ac:dyDescent="0.25">
      <c r="A1540" t="s">
        <v>315</v>
      </c>
      <c r="B1540" t="str">
        <f t="shared" si="95"/>
        <v>X100-51L240.8595</v>
      </c>
      <c r="C1540">
        <v>0.85</v>
      </c>
      <c r="D1540">
        <v>95</v>
      </c>
      <c r="E1540">
        <v>1.1065530000000001</v>
      </c>
      <c r="F1540">
        <v>50.292000000000002</v>
      </c>
      <c r="G1540">
        <f t="shared" si="96"/>
        <v>12.928766290418693</v>
      </c>
      <c r="H1540">
        <f t="shared" si="97"/>
        <v>12.807326388888889</v>
      </c>
      <c r="I1540">
        <f t="shared" si="98"/>
        <v>8.5588444801577808</v>
      </c>
    </row>
    <row r="1541" spans="1:9" x14ac:dyDescent="0.25">
      <c r="A1541" t="s">
        <v>315</v>
      </c>
      <c r="B1541" t="str">
        <f t="shared" si="95"/>
        <v>X100-51L240.85100</v>
      </c>
      <c r="C1541">
        <v>0.85</v>
      </c>
      <c r="D1541">
        <v>100</v>
      </c>
      <c r="E1541">
        <v>1.1338079999999999</v>
      </c>
      <c r="F1541">
        <v>50.901600000000002</v>
      </c>
      <c r="G1541">
        <f t="shared" si="96"/>
        <v>13.095226850256296</v>
      </c>
      <c r="H1541">
        <f t="shared" si="97"/>
        <v>13.122777777777776</v>
      </c>
      <c r="I1541">
        <f t="shared" si="98"/>
        <v>8.6581776166619768</v>
      </c>
    </row>
    <row r="1542" spans="1:9" x14ac:dyDescent="0.25">
      <c r="A1542" t="s">
        <v>315</v>
      </c>
      <c r="B1542" t="str">
        <f t="shared" si="95"/>
        <v>X100-51L240.940</v>
      </c>
      <c r="C1542">
        <v>0.9</v>
      </c>
      <c r="D1542">
        <v>40</v>
      </c>
      <c r="E1542">
        <v>0.80674800000000002</v>
      </c>
      <c r="F1542">
        <v>39.624000000000002</v>
      </c>
      <c r="G1542">
        <f t="shared" si="96"/>
        <v>10.053502817541336</v>
      </c>
      <c r="H1542">
        <f t="shared" si="97"/>
        <v>9.337361111111111</v>
      </c>
      <c r="I1542">
        <f t="shared" si="98"/>
        <v>8.0245464157267392</v>
      </c>
    </row>
    <row r="1543" spans="1:9" x14ac:dyDescent="0.25">
      <c r="A1543" t="s">
        <v>315</v>
      </c>
      <c r="B1543" t="str">
        <f t="shared" si="95"/>
        <v>X100-51L240.945</v>
      </c>
      <c r="C1543">
        <v>0.9</v>
      </c>
      <c r="D1543">
        <v>45</v>
      </c>
      <c r="E1543">
        <v>0.84490500000000002</v>
      </c>
      <c r="F1543">
        <v>41.148000000000003</v>
      </c>
      <c r="G1543">
        <f t="shared" si="96"/>
        <v>10.459876789618697</v>
      </c>
      <c r="H1543">
        <f t="shared" si="97"/>
        <v>9.7789930555555546</v>
      </c>
      <c r="I1543">
        <f t="shared" si="98"/>
        <v>8.077580807056524</v>
      </c>
    </row>
    <row r="1544" spans="1:9" x14ac:dyDescent="0.25">
      <c r="A1544" t="s">
        <v>315</v>
      </c>
      <c r="B1544" t="str">
        <f t="shared" si="95"/>
        <v>X100-51L240.950</v>
      </c>
      <c r="C1544">
        <v>0.9</v>
      </c>
      <c r="D1544">
        <v>50</v>
      </c>
      <c r="E1544">
        <v>0.87761100000000003</v>
      </c>
      <c r="F1544">
        <v>42.367200000000004</v>
      </c>
      <c r="G1544">
        <f t="shared" si="96"/>
        <v>10.786026675909241</v>
      </c>
      <c r="H1544">
        <f t="shared" si="97"/>
        <v>10.157534722222222</v>
      </c>
      <c r="I1544">
        <f t="shared" si="98"/>
        <v>8.1365550667527824</v>
      </c>
    </row>
    <row r="1545" spans="1:9" x14ac:dyDescent="0.25">
      <c r="A1545" t="s">
        <v>315</v>
      </c>
      <c r="B1545" t="str">
        <f t="shared" si="95"/>
        <v>X100-51L240.955</v>
      </c>
      <c r="C1545">
        <v>0.9</v>
      </c>
      <c r="D1545">
        <v>55</v>
      </c>
      <c r="E1545">
        <v>0.92666999999999999</v>
      </c>
      <c r="F1545">
        <v>43.586400000000005</v>
      </c>
      <c r="G1545">
        <f t="shared" si="96"/>
        <v>11.113110525425263</v>
      </c>
      <c r="H1545">
        <f t="shared" si="97"/>
        <v>10.725347222222222</v>
      </c>
      <c r="I1545">
        <f t="shared" si="98"/>
        <v>8.3385295042275231</v>
      </c>
    </row>
    <row r="1546" spans="1:9" x14ac:dyDescent="0.25">
      <c r="A1546" t="s">
        <v>315</v>
      </c>
      <c r="B1546" t="str">
        <f t="shared" si="95"/>
        <v>X100-51L240.960</v>
      </c>
      <c r="C1546">
        <v>0.9</v>
      </c>
      <c r="D1546">
        <v>60</v>
      </c>
      <c r="E1546">
        <v>0.97027799999999997</v>
      </c>
      <c r="F1546">
        <v>44.805600000000005</v>
      </c>
      <c r="G1546">
        <f t="shared" si="96"/>
        <v>11.441128338166763</v>
      </c>
      <c r="H1546">
        <f t="shared" si="97"/>
        <v>11.230069444444444</v>
      </c>
      <c r="I1546">
        <f t="shared" si="98"/>
        <v>8.4806145978034699</v>
      </c>
    </row>
    <row r="1547" spans="1:9" x14ac:dyDescent="0.25">
      <c r="A1547" t="s">
        <v>315</v>
      </c>
      <c r="B1547" t="str">
        <f t="shared" si="95"/>
        <v>X100-51L240.965</v>
      </c>
      <c r="C1547">
        <v>0.9</v>
      </c>
      <c r="D1547">
        <v>65</v>
      </c>
      <c r="E1547">
        <v>1.0138860000000001</v>
      </c>
      <c r="F1547">
        <v>45.72</v>
      </c>
      <c r="G1547">
        <f t="shared" si="96"/>
        <v>11.687754611089588</v>
      </c>
      <c r="H1547">
        <f t="shared" si="97"/>
        <v>11.734791666666666</v>
      </c>
      <c r="I1547">
        <f t="shared" si="98"/>
        <v>8.6747714487263767</v>
      </c>
    </row>
    <row r="1548" spans="1:9" x14ac:dyDescent="0.25">
      <c r="A1548" t="s">
        <v>315</v>
      </c>
      <c r="B1548" t="str">
        <f t="shared" si="95"/>
        <v>X100-51L240.970</v>
      </c>
      <c r="C1548">
        <v>0.9</v>
      </c>
      <c r="D1548">
        <v>70</v>
      </c>
      <c r="E1548">
        <v>1.0520430000000001</v>
      </c>
      <c r="F1548">
        <v>46.9392</v>
      </c>
      <c r="G1548">
        <f t="shared" si="96"/>
        <v>12.017406859475663</v>
      </c>
      <c r="H1548">
        <f t="shared" si="97"/>
        <v>12.176423611111112</v>
      </c>
      <c r="I1548">
        <f t="shared" si="98"/>
        <v>8.7543262228029626</v>
      </c>
    </row>
    <row r="1549" spans="1:9" x14ac:dyDescent="0.25">
      <c r="A1549" t="s">
        <v>315</v>
      </c>
      <c r="B1549" t="str">
        <f t="shared" si="95"/>
        <v>X100-51L240.975</v>
      </c>
      <c r="C1549">
        <v>0.9</v>
      </c>
      <c r="D1549">
        <v>75</v>
      </c>
      <c r="E1549">
        <v>1.084749</v>
      </c>
      <c r="F1549">
        <v>48.1584</v>
      </c>
      <c r="G1549">
        <f t="shared" si="96"/>
        <v>12.347993071087203</v>
      </c>
      <c r="H1549">
        <f t="shared" si="97"/>
        <v>12.554965277777777</v>
      </c>
      <c r="I1549">
        <f t="shared" si="98"/>
        <v>8.7848202841961189</v>
      </c>
    </row>
    <row r="1550" spans="1:9" x14ac:dyDescent="0.25">
      <c r="A1550" t="s">
        <v>315</v>
      </c>
      <c r="B1550" t="str">
        <f t="shared" si="95"/>
        <v>X100-51L240.980</v>
      </c>
      <c r="C1550">
        <v>0.9</v>
      </c>
      <c r="D1550">
        <v>80</v>
      </c>
      <c r="E1550">
        <v>1.1174550000000001</v>
      </c>
      <c r="F1550">
        <v>49.377600000000001</v>
      </c>
      <c r="G1550">
        <f t="shared" si="96"/>
        <v>12.67951324592422</v>
      </c>
      <c r="H1550">
        <f t="shared" si="97"/>
        <v>12.933506944444444</v>
      </c>
      <c r="I1550">
        <f t="shared" si="98"/>
        <v>8.8130749053730568</v>
      </c>
    </row>
    <row r="1551" spans="1:9" x14ac:dyDescent="0.25">
      <c r="A1551" t="s">
        <v>315</v>
      </c>
      <c r="B1551" t="str">
        <f t="shared" si="95"/>
        <v>X100-51L240.985</v>
      </c>
      <c r="C1551">
        <v>0.9</v>
      </c>
      <c r="D1551">
        <v>85</v>
      </c>
      <c r="E1551">
        <v>1.1556120000000001</v>
      </c>
      <c r="F1551">
        <v>49.987200000000001</v>
      </c>
      <c r="G1551">
        <f t="shared" si="96"/>
        <v>12.845623569552281</v>
      </c>
      <c r="H1551">
        <f t="shared" si="97"/>
        <v>13.375138888888889</v>
      </c>
      <c r="I1551">
        <f t="shared" si="98"/>
        <v>8.9961533882957898</v>
      </c>
    </row>
    <row r="1552" spans="1:9" x14ac:dyDescent="0.25">
      <c r="A1552" t="s">
        <v>315</v>
      </c>
      <c r="B1552" t="str">
        <f t="shared" si="95"/>
        <v>X100-51L240.990</v>
      </c>
      <c r="C1552">
        <v>0.9</v>
      </c>
      <c r="D1552">
        <v>90</v>
      </c>
      <c r="E1552">
        <v>1.1937690000000001</v>
      </c>
      <c r="F1552">
        <v>50.901600000000002</v>
      </c>
      <c r="G1552">
        <f t="shared" si="96"/>
        <v>13.095226850256296</v>
      </c>
      <c r="H1552">
        <f t="shared" si="97"/>
        <v>13.816770833333333</v>
      </c>
      <c r="I1552">
        <f t="shared" si="98"/>
        <v>9.1160620098508343</v>
      </c>
    </row>
    <row r="1553" spans="1:9" x14ac:dyDescent="0.25">
      <c r="A1553" t="s">
        <v>315</v>
      </c>
      <c r="B1553" t="str">
        <f t="shared" si="95"/>
        <v>X100-51L240.995</v>
      </c>
      <c r="C1553">
        <v>0.9</v>
      </c>
      <c r="D1553">
        <v>95</v>
      </c>
      <c r="E1553">
        <v>1.226475</v>
      </c>
      <c r="F1553">
        <v>51.511200000000002</v>
      </c>
      <c r="G1553">
        <f t="shared" si="96"/>
        <v>13.261920900900286</v>
      </c>
      <c r="H1553">
        <f t="shared" si="97"/>
        <v>14.195312499999998</v>
      </c>
      <c r="I1553">
        <f t="shared" si="98"/>
        <v>9.2480946701826632</v>
      </c>
    </row>
    <row r="1554" spans="1:9" x14ac:dyDescent="0.25">
      <c r="A1554" t="s">
        <v>315</v>
      </c>
      <c r="B1554" t="str">
        <f t="shared" si="95"/>
        <v>X100-51L240.9100</v>
      </c>
      <c r="C1554">
        <v>0.9</v>
      </c>
      <c r="D1554">
        <v>100</v>
      </c>
      <c r="E1554">
        <v>1.2591810000000001</v>
      </c>
      <c r="F1554">
        <v>52.425600000000003</v>
      </c>
      <c r="G1554">
        <f t="shared" si="96"/>
        <v>13.512399772128191</v>
      </c>
      <c r="H1554">
        <f t="shared" si="97"/>
        <v>14.573854166666667</v>
      </c>
      <c r="I1554">
        <f t="shared" si="98"/>
        <v>9.3187074186281293</v>
      </c>
    </row>
    <row r="1555" spans="1:9" x14ac:dyDescent="0.25">
      <c r="A1555" t="s">
        <v>315</v>
      </c>
      <c r="B1555" t="str">
        <f t="shared" si="95"/>
        <v>X100-51L240.9540</v>
      </c>
      <c r="C1555">
        <v>0.95</v>
      </c>
      <c r="D1555">
        <v>40</v>
      </c>
      <c r="E1555">
        <v>0.89396399999999998</v>
      </c>
      <c r="F1555">
        <v>41.452800000000003</v>
      </c>
      <c r="G1555">
        <f t="shared" si="96"/>
        <v>10.541326702138953</v>
      </c>
      <c r="H1555">
        <f t="shared" si="97"/>
        <v>10.346805555555555</v>
      </c>
      <c r="I1555">
        <f t="shared" si="98"/>
        <v>8.4805644038961869</v>
      </c>
    </row>
    <row r="1556" spans="1:9" x14ac:dyDescent="0.25">
      <c r="A1556" t="s">
        <v>315</v>
      </c>
      <c r="B1556" t="str">
        <f t="shared" si="95"/>
        <v>X100-51L240.9545</v>
      </c>
      <c r="C1556">
        <v>0.95</v>
      </c>
      <c r="D1556">
        <v>45</v>
      </c>
      <c r="E1556">
        <v>0.93757200000000007</v>
      </c>
      <c r="F1556">
        <v>42.672000000000004</v>
      </c>
      <c r="G1556">
        <f t="shared" si="96"/>
        <v>10.867710079235856</v>
      </c>
      <c r="H1556">
        <f t="shared" si="97"/>
        <v>10.851527777777777</v>
      </c>
      <c r="I1556">
        <f t="shared" si="98"/>
        <v>8.6271348164812629</v>
      </c>
    </row>
    <row r="1557" spans="1:9" x14ac:dyDescent="0.25">
      <c r="A1557" t="s">
        <v>315</v>
      </c>
      <c r="B1557" t="str">
        <f t="shared" si="95"/>
        <v>X100-51L240.9550</v>
      </c>
      <c r="C1557">
        <v>0.95</v>
      </c>
      <c r="D1557">
        <v>50</v>
      </c>
      <c r="E1557">
        <v>0.98118000000000005</v>
      </c>
      <c r="F1557">
        <v>43.891200000000005</v>
      </c>
      <c r="G1557">
        <f t="shared" si="96"/>
        <v>11.195027419558258</v>
      </c>
      <c r="H1557">
        <f t="shared" si="97"/>
        <v>11.356249999999999</v>
      </c>
      <c r="I1557">
        <f t="shared" si="98"/>
        <v>8.7644269480379364</v>
      </c>
    </row>
    <row r="1558" spans="1:9" x14ac:dyDescent="0.25">
      <c r="A1558" t="s">
        <v>315</v>
      </c>
      <c r="B1558" t="str">
        <f t="shared" si="95"/>
        <v>X100-51L240.9555</v>
      </c>
      <c r="C1558">
        <v>0.95</v>
      </c>
      <c r="D1558">
        <v>55</v>
      </c>
      <c r="E1558">
        <v>1.0302390000000001</v>
      </c>
      <c r="F1558">
        <v>45.110400000000006</v>
      </c>
      <c r="G1558">
        <f t="shared" si="96"/>
        <v>11.52327872310611</v>
      </c>
      <c r="H1558">
        <f t="shared" si="97"/>
        <v>11.924062500000002</v>
      </c>
      <c r="I1558">
        <f t="shared" si="98"/>
        <v>8.9405023062941105</v>
      </c>
    </row>
    <row r="1559" spans="1:9" x14ac:dyDescent="0.25">
      <c r="A1559" t="s">
        <v>315</v>
      </c>
      <c r="B1559" t="str">
        <f t="shared" si="95"/>
        <v>X100-51L240.9560</v>
      </c>
      <c r="C1559">
        <v>0.95</v>
      </c>
      <c r="D1559">
        <v>60</v>
      </c>
      <c r="E1559">
        <v>1.0792980000000001</v>
      </c>
      <c r="F1559">
        <v>46.329599999999999</v>
      </c>
      <c r="G1559">
        <f t="shared" si="96"/>
        <v>11.852463989879446</v>
      </c>
      <c r="H1559">
        <f t="shared" si="97"/>
        <v>12.491875</v>
      </c>
      <c r="I1559">
        <f t="shared" si="98"/>
        <v>9.1061065523724736</v>
      </c>
    </row>
    <row r="1560" spans="1:9" x14ac:dyDescent="0.25">
      <c r="A1560" t="s">
        <v>315</v>
      </c>
      <c r="B1560" t="str">
        <f t="shared" si="95"/>
        <v>X100-51L240.9565</v>
      </c>
      <c r="C1560">
        <v>0.95</v>
      </c>
      <c r="D1560">
        <v>65</v>
      </c>
      <c r="E1560">
        <v>1.1283570000000001</v>
      </c>
      <c r="F1560">
        <v>47.8536</v>
      </c>
      <c r="G1560">
        <f t="shared" si="96"/>
        <v>12.265258959131927</v>
      </c>
      <c r="H1560">
        <f t="shared" si="97"/>
        <v>13.059687500000001</v>
      </c>
      <c r="I1560">
        <f t="shared" si="98"/>
        <v>9.1996182368403865</v>
      </c>
    </row>
    <row r="1561" spans="1:9" x14ac:dyDescent="0.25">
      <c r="A1561" t="s">
        <v>315</v>
      </c>
      <c r="B1561" t="str">
        <f t="shared" si="95"/>
        <v>X100-51L240.9570</v>
      </c>
      <c r="C1561">
        <v>0.95</v>
      </c>
      <c r="D1561">
        <v>70</v>
      </c>
      <c r="E1561">
        <v>1.1719649999999999</v>
      </c>
      <c r="F1561">
        <v>49.377600000000001</v>
      </c>
      <c r="G1561">
        <f t="shared" si="96"/>
        <v>12.67951324592422</v>
      </c>
      <c r="H1561">
        <f t="shared" si="97"/>
        <v>13.564409722222221</v>
      </c>
      <c r="I1561">
        <f t="shared" si="98"/>
        <v>9.2429809983180817</v>
      </c>
    </row>
    <row r="1562" spans="1:9" x14ac:dyDescent="0.25">
      <c r="A1562" t="s">
        <v>315</v>
      </c>
      <c r="B1562" t="str">
        <f t="shared" si="95"/>
        <v>X100-51L240.9575</v>
      </c>
      <c r="C1562">
        <v>0.95</v>
      </c>
      <c r="D1562">
        <v>75</v>
      </c>
      <c r="E1562">
        <v>1.2101219999999999</v>
      </c>
      <c r="F1562">
        <v>50.596800000000002</v>
      </c>
      <c r="G1562">
        <f t="shared" si="96"/>
        <v>13.011967383986693</v>
      </c>
      <c r="H1562">
        <f t="shared" si="97"/>
        <v>14.006041666666665</v>
      </c>
      <c r="I1562">
        <f t="shared" si="98"/>
        <v>9.3000694229317595</v>
      </c>
    </row>
    <row r="1563" spans="1:9" x14ac:dyDescent="0.25">
      <c r="A1563" t="s">
        <v>315</v>
      </c>
      <c r="B1563" t="str">
        <f t="shared" si="95"/>
        <v>X100-51L240.9580</v>
      </c>
      <c r="C1563">
        <v>0.95</v>
      </c>
      <c r="D1563">
        <v>80</v>
      </c>
      <c r="E1563">
        <v>1.2482789999999999</v>
      </c>
      <c r="F1563">
        <v>51.511200000000002</v>
      </c>
      <c r="G1563">
        <f t="shared" si="96"/>
        <v>13.261920900900286</v>
      </c>
      <c r="H1563">
        <f t="shared" si="97"/>
        <v>14.44767361111111</v>
      </c>
      <c r="I1563">
        <f t="shared" si="98"/>
        <v>9.412505242097021</v>
      </c>
    </row>
    <row r="1564" spans="1:9" x14ac:dyDescent="0.25">
      <c r="A1564" t="s">
        <v>315</v>
      </c>
      <c r="B1564" t="str">
        <f t="shared" si="95"/>
        <v>X100-51L240.9585</v>
      </c>
      <c r="C1564">
        <v>0.95</v>
      </c>
      <c r="D1564">
        <v>85</v>
      </c>
      <c r="E1564">
        <v>1.2864360000000001</v>
      </c>
      <c r="F1564">
        <v>52.120800000000003</v>
      </c>
      <c r="G1564">
        <f t="shared" si="96"/>
        <v>13.428848442350628</v>
      </c>
      <c r="H1564">
        <f t="shared" si="97"/>
        <v>14.889305555555556</v>
      </c>
      <c r="I1564">
        <f t="shared" si="98"/>
        <v>9.579644937707096</v>
      </c>
    </row>
    <row r="1565" spans="1:9" x14ac:dyDescent="0.25">
      <c r="A1565" t="s">
        <v>315</v>
      </c>
      <c r="B1565" t="str">
        <f t="shared" si="95"/>
        <v>X100-51L240.9590</v>
      </c>
      <c r="C1565">
        <v>0.95</v>
      </c>
      <c r="D1565">
        <v>90</v>
      </c>
      <c r="E1565">
        <v>1.3245930000000001</v>
      </c>
      <c r="F1565">
        <v>53.035200000000003</v>
      </c>
      <c r="G1565">
        <f t="shared" si="96"/>
        <v>13.679677549788082</v>
      </c>
      <c r="H1565">
        <f t="shared" si="97"/>
        <v>15.330937500000001</v>
      </c>
      <c r="I1565">
        <f t="shared" si="98"/>
        <v>9.682925603904458</v>
      </c>
    </row>
    <row r="1566" spans="1:9" x14ac:dyDescent="0.25">
      <c r="A1566" t="s">
        <v>315</v>
      </c>
      <c r="B1566" t="str">
        <f t="shared" si="95"/>
        <v>X100-51L240.9595</v>
      </c>
      <c r="C1566">
        <v>0.95</v>
      </c>
      <c r="D1566">
        <v>95</v>
      </c>
      <c r="E1566">
        <v>1.3627500000000001</v>
      </c>
      <c r="F1566">
        <v>53.644800000000004</v>
      </c>
      <c r="G1566">
        <f t="shared" si="96"/>
        <v>13.847188818254352</v>
      </c>
      <c r="H1566">
        <f t="shared" si="97"/>
        <v>15.772569444444445</v>
      </c>
      <c r="I1566">
        <f t="shared" si="98"/>
        <v>9.8413477124217863</v>
      </c>
    </row>
    <row r="1567" spans="1:9" x14ac:dyDescent="0.25">
      <c r="A1567" t="s">
        <v>315</v>
      </c>
      <c r="B1567" t="str">
        <f t="shared" si="95"/>
        <v>X100-51L240.95100</v>
      </c>
      <c r="C1567">
        <v>0.95</v>
      </c>
      <c r="D1567">
        <v>100</v>
      </c>
      <c r="E1567">
        <v>1.4009070000000001</v>
      </c>
      <c r="F1567">
        <v>54.559200000000004</v>
      </c>
      <c r="G1567">
        <f t="shared" si="96"/>
        <v>14.098893516215703</v>
      </c>
      <c r="H1567">
        <f t="shared" si="97"/>
        <v>16.214201388888888</v>
      </c>
      <c r="I1567">
        <f t="shared" si="98"/>
        <v>9.9362903790198907</v>
      </c>
    </row>
    <row r="1568" spans="1:9" x14ac:dyDescent="0.25">
      <c r="A1568" t="s">
        <v>315</v>
      </c>
      <c r="B1568" t="str">
        <f t="shared" si="95"/>
        <v>X100-51L24145</v>
      </c>
      <c r="C1568">
        <v>1</v>
      </c>
      <c r="D1568">
        <v>45</v>
      </c>
      <c r="E1568">
        <v>1.0411410000000001</v>
      </c>
      <c r="F1568">
        <v>44.196000000000005</v>
      </c>
      <c r="G1568">
        <f t="shared" si="96"/>
        <v>11.277002686392827</v>
      </c>
      <c r="H1568">
        <f t="shared" si="97"/>
        <v>12.050243055555557</v>
      </c>
      <c r="I1568">
        <f t="shared" si="98"/>
        <v>9.2324266381196516</v>
      </c>
    </row>
    <row r="1569" spans="1:9" x14ac:dyDescent="0.25">
      <c r="A1569" t="s">
        <v>315</v>
      </c>
      <c r="B1569" t="str">
        <f t="shared" si="95"/>
        <v>X100-51L24150</v>
      </c>
      <c r="C1569">
        <v>1</v>
      </c>
      <c r="D1569">
        <v>50</v>
      </c>
      <c r="E1569">
        <v>1.084749</v>
      </c>
      <c r="F1569">
        <v>45.415200000000006</v>
      </c>
      <c r="G1569">
        <f t="shared" si="96"/>
        <v>11.605487480747058</v>
      </c>
      <c r="H1569">
        <f t="shared" si="97"/>
        <v>12.554965277777777</v>
      </c>
      <c r="I1569">
        <f t="shared" si="98"/>
        <v>9.3468628681005086</v>
      </c>
    </row>
    <row r="1570" spans="1:9" x14ac:dyDescent="0.25">
      <c r="A1570" t="s">
        <v>315</v>
      </c>
      <c r="B1570" t="str">
        <f t="shared" si="95"/>
        <v>X100-51L24155</v>
      </c>
      <c r="C1570">
        <v>1</v>
      </c>
      <c r="D1570">
        <v>55</v>
      </c>
      <c r="E1570">
        <v>1.139259</v>
      </c>
      <c r="F1570">
        <v>46.634399999999999</v>
      </c>
      <c r="G1570">
        <f t="shared" si="96"/>
        <v>11.934906238326754</v>
      </c>
      <c r="H1570">
        <f t="shared" si="97"/>
        <v>13.185868055555556</v>
      </c>
      <c r="I1570">
        <f t="shared" si="98"/>
        <v>9.5456049444400275</v>
      </c>
    </row>
    <row r="1571" spans="1:9" x14ac:dyDescent="0.25">
      <c r="A1571" t="s">
        <v>315</v>
      </c>
      <c r="B1571" t="str">
        <f t="shared" si="95"/>
        <v>X100-51L24160</v>
      </c>
      <c r="C1571">
        <v>1</v>
      </c>
      <c r="D1571">
        <v>60</v>
      </c>
      <c r="E1571">
        <v>1.188318</v>
      </c>
      <c r="F1571">
        <v>47.8536</v>
      </c>
      <c r="G1571">
        <f t="shared" si="96"/>
        <v>12.265258959131927</v>
      </c>
      <c r="H1571">
        <f t="shared" si="97"/>
        <v>13.753680555555555</v>
      </c>
      <c r="I1571">
        <f t="shared" si="98"/>
        <v>9.6884868387980863</v>
      </c>
    </row>
    <row r="1572" spans="1:9" x14ac:dyDescent="0.25">
      <c r="A1572" t="s">
        <v>315</v>
      </c>
      <c r="B1572" t="str">
        <f t="shared" si="95"/>
        <v>X100-51L24165</v>
      </c>
      <c r="C1572">
        <v>1</v>
      </c>
      <c r="D1572">
        <v>65</v>
      </c>
      <c r="E1572">
        <v>1.242828</v>
      </c>
      <c r="F1572">
        <v>49.682400000000001</v>
      </c>
      <c r="G1572">
        <f t="shared" si="96"/>
        <v>12.762539221387449</v>
      </c>
      <c r="H1572">
        <f t="shared" si="97"/>
        <v>14.384583333333333</v>
      </c>
      <c r="I1572">
        <f t="shared" si="98"/>
        <v>9.7380934815641567</v>
      </c>
    </row>
    <row r="1573" spans="1:9" x14ac:dyDescent="0.25">
      <c r="A1573" t="s">
        <v>315</v>
      </c>
      <c r="B1573" t="str">
        <f t="shared" si="95"/>
        <v>X100-51L24170</v>
      </c>
      <c r="C1573">
        <v>1</v>
      </c>
      <c r="D1573">
        <v>70</v>
      </c>
      <c r="E1573">
        <v>1.291887</v>
      </c>
      <c r="F1573">
        <v>51.511200000000002</v>
      </c>
      <c r="G1573">
        <f t="shared" si="96"/>
        <v>13.261920900900286</v>
      </c>
      <c r="H1573">
        <f t="shared" si="97"/>
        <v>14.952395833333332</v>
      </c>
      <c r="I1573">
        <f t="shared" si="98"/>
        <v>9.7413263859257384</v>
      </c>
    </row>
    <row r="1574" spans="1:9" x14ac:dyDescent="0.25">
      <c r="A1574" t="s">
        <v>315</v>
      </c>
      <c r="B1574" t="str">
        <f t="shared" ref="B1574:B1637" si="99">A1574&amp;C1574&amp;D1574</f>
        <v>X100-51L24175</v>
      </c>
      <c r="C1574">
        <v>1</v>
      </c>
      <c r="D1574">
        <v>75</v>
      </c>
      <c r="E1574">
        <v>1.3354950000000001</v>
      </c>
      <c r="F1574">
        <v>52.730400000000003</v>
      </c>
      <c r="G1574">
        <f t="shared" si="96"/>
        <v>13.596009474607342</v>
      </c>
      <c r="H1574">
        <f t="shared" si="97"/>
        <v>15.457118055555556</v>
      </c>
      <c r="I1574">
        <f t="shared" si="98"/>
        <v>9.8226983622969986</v>
      </c>
    </row>
    <row r="1575" spans="1:9" x14ac:dyDescent="0.25">
      <c r="A1575" t="s">
        <v>315</v>
      </c>
      <c r="B1575" t="str">
        <f t="shared" si="99"/>
        <v>X100-51L24180</v>
      </c>
      <c r="C1575">
        <v>1</v>
      </c>
      <c r="D1575">
        <v>80</v>
      </c>
      <c r="E1575">
        <v>1.3736520000000001</v>
      </c>
      <c r="F1575">
        <v>53.644800000000004</v>
      </c>
      <c r="G1575">
        <f t="shared" si="96"/>
        <v>13.847188818254352</v>
      </c>
      <c r="H1575">
        <f t="shared" si="97"/>
        <v>15.89875</v>
      </c>
      <c r="I1575">
        <f t="shared" si="98"/>
        <v>9.9200784941211602</v>
      </c>
    </row>
    <row r="1576" spans="1:9" x14ac:dyDescent="0.25">
      <c r="A1576" t="s">
        <v>315</v>
      </c>
      <c r="B1576" t="str">
        <f t="shared" si="99"/>
        <v>X100-51L24185</v>
      </c>
      <c r="C1576">
        <v>1</v>
      </c>
      <c r="D1576">
        <v>85</v>
      </c>
      <c r="E1576">
        <v>1.41726</v>
      </c>
      <c r="F1576">
        <v>54.254400000000004</v>
      </c>
      <c r="G1576">
        <f t="shared" si="96"/>
        <v>14.014933577526996</v>
      </c>
      <c r="H1576">
        <f t="shared" si="97"/>
        <v>16.40347222222222</v>
      </c>
      <c r="I1576">
        <f t="shared" si="98"/>
        <v>10.112498872435486</v>
      </c>
    </row>
    <row r="1577" spans="1:9" x14ac:dyDescent="0.25">
      <c r="A1577" t="s">
        <v>315</v>
      </c>
      <c r="B1577" t="str">
        <f t="shared" si="99"/>
        <v>X100-51L24190</v>
      </c>
      <c r="C1577">
        <v>1</v>
      </c>
      <c r="D1577">
        <v>90</v>
      </c>
      <c r="E1577">
        <v>1.455417</v>
      </c>
      <c r="F1577">
        <v>54.864000000000004</v>
      </c>
      <c r="G1577">
        <f t="shared" si="96"/>
        <v>14.182911827605992</v>
      </c>
      <c r="H1577">
        <f t="shared" si="97"/>
        <v>16.845104166666665</v>
      </c>
      <c r="I1577">
        <f t="shared" si="98"/>
        <v>10.261764422501296</v>
      </c>
    </row>
    <row r="1578" spans="1:9" x14ac:dyDescent="0.25">
      <c r="A1578" t="s">
        <v>315</v>
      </c>
      <c r="B1578" t="str">
        <f t="shared" si="99"/>
        <v>X100-51L24195</v>
      </c>
      <c r="C1578">
        <v>1</v>
      </c>
      <c r="D1578">
        <v>95</v>
      </c>
      <c r="E1578">
        <v>1.4990250000000001</v>
      </c>
      <c r="F1578">
        <v>55.778400000000005</v>
      </c>
      <c r="G1578">
        <f t="shared" si="96"/>
        <v>14.435316997986448</v>
      </c>
      <c r="H1578">
        <f t="shared" si="97"/>
        <v>17.349826388888889</v>
      </c>
      <c r="I1578">
        <f t="shared" si="98"/>
        <v>10.384427305677429</v>
      </c>
    </row>
    <row r="1579" spans="1:9" x14ac:dyDescent="0.25">
      <c r="A1579" t="s">
        <v>315</v>
      </c>
      <c r="B1579" t="str">
        <f t="shared" si="99"/>
        <v>X100-51L241100</v>
      </c>
      <c r="C1579">
        <v>1</v>
      </c>
      <c r="D1579">
        <v>100</v>
      </c>
      <c r="E1579">
        <v>1.537182</v>
      </c>
      <c r="F1579">
        <v>56.388000000000005</v>
      </c>
      <c r="G1579">
        <f t="shared" si="96"/>
        <v>14.603878975081372</v>
      </c>
      <c r="H1579">
        <f t="shared" si="97"/>
        <v>17.791458333333335</v>
      </c>
      <c r="I1579">
        <f t="shared" si="98"/>
        <v>10.525847294563977</v>
      </c>
    </row>
    <row r="1580" spans="1:9" x14ac:dyDescent="0.25">
      <c r="A1580" t="s">
        <v>304</v>
      </c>
      <c r="B1580" t="str">
        <f t="shared" si="99"/>
        <v>SR101+0.4740</v>
      </c>
      <c r="C1580">
        <v>0.47</v>
      </c>
      <c r="D1580">
        <v>40</v>
      </c>
      <c r="E1580">
        <v>0.21803971876512546</v>
      </c>
      <c r="F1580">
        <v>27.889200000000002</v>
      </c>
      <c r="G1580">
        <f t="shared" si="96"/>
        <v>6.9733030735412811</v>
      </c>
      <c r="H1580">
        <f t="shared" si="97"/>
        <v>2.5236078560778408</v>
      </c>
      <c r="I1580">
        <f t="shared" si="98"/>
        <v>3.1267781776534407</v>
      </c>
    </row>
    <row r="1581" spans="1:9" x14ac:dyDescent="0.25">
      <c r="A1581" t="s">
        <v>304</v>
      </c>
      <c r="B1581" t="str">
        <f t="shared" si="99"/>
        <v>SR101+0.4750</v>
      </c>
      <c r="C1581">
        <v>0.47</v>
      </c>
      <c r="D1581">
        <v>50</v>
      </c>
      <c r="E1581">
        <v>0.24529468361076612</v>
      </c>
      <c r="F1581">
        <v>30.0228</v>
      </c>
      <c r="G1581">
        <f t="shared" si="96"/>
        <v>7.5269038002816657</v>
      </c>
      <c r="H1581">
        <f t="shared" si="97"/>
        <v>2.8390588380875705</v>
      </c>
      <c r="I1581">
        <f t="shared" si="98"/>
        <v>3.2589055223687975</v>
      </c>
    </row>
    <row r="1582" spans="1:9" x14ac:dyDescent="0.25">
      <c r="A1582" t="s">
        <v>304</v>
      </c>
      <c r="B1582" t="str">
        <f t="shared" si="99"/>
        <v>SR101+0.4760</v>
      </c>
      <c r="C1582">
        <v>0.47</v>
      </c>
      <c r="D1582">
        <v>60</v>
      </c>
      <c r="E1582">
        <v>0.27254964845640683</v>
      </c>
      <c r="F1582">
        <v>32.308800000000005</v>
      </c>
      <c r="G1582">
        <f t="shared" si="96"/>
        <v>8.123221451724028</v>
      </c>
      <c r="H1582">
        <f t="shared" si="97"/>
        <v>3.1545098200973012</v>
      </c>
      <c r="I1582">
        <f t="shared" si="98"/>
        <v>3.3551916573511904</v>
      </c>
    </row>
    <row r="1583" spans="1:9" x14ac:dyDescent="0.25">
      <c r="A1583" t="s">
        <v>304</v>
      </c>
      <c r="B1583" t="str">
        <f t="shared" si="99"/>
        <v>SR101+0.4770</v>
      </c>
      <c r="C1583">
        <v>0.47</v>
      </c>
      <c r="D1583">
        <v>70</v>
      </c>
      <c r="E1583">
        <v>0.2943536203329194</v>
      </c>
      <c r="F1583">
        <v>34.29</v>
      </c>
      <c r="G1583">
        <f t="shared" si="96"/>
        <v>8.6426860408964998</v>
      </c>
      <c r="H1583">
        <f t="shared" si="97"/>
        <v>3.4068706057050853</v>
      </c>
      <c r="I1583">
        <f t="shared" si="98"/>
        <v>3.4058117920755375</v>
      </c>
    </row>
    <row r="1584" spans="1:9" x14ac:dyDescent="0.25">
      <c r="A1584" t="s">
        <v>304</v>
      </c>
      <c r="B1584" t="str">
        <f t="shared" si="99"/>
        <v>SR101+0.4780</v>
      </c>
      <c r="C1584">
        <v>0.47</v>
      </c>
      <c r="D1584">
        <v>80</v>
      </c>
      <c r="E1584">
        <v>0.3107065992403038</v>
      </c>
      <c r="F1584">
        <v>36.1188</v>
      </c>
      <c r="G1584">
        <f t="shared" si="96"/>
        <v>9.1243807918269511</v>
      </c>
      <c r="H1584">
        <f t="shared" si="97"/>
        <v>3.5961411949109237</v>
      </c>
      <c r="I1584">
        <f t="shared" si="98"/>
        <v>3.4052349011849148</v>
      </c>
    </row>
    <row r="1585" spans="1:9" x14ac:dyDescent="0.25">
      <c r="A1585" t="s">
        <v>304</v>
      </c>
      <c r="B1585" t="str">
        <f t="shared" si="99"/>
        <v>SR101+0.4790</v>
      </c>
      <c r="C1585">
        <v>0.47</v>
      </c>
      <c r="D1585">
        <v>90</v>
      </c>
      <c r="E1585">
        <v>0.33251057111681637</v>
      </c>
      <c r="F1585">
        <v>37.795200000000001</v>
      </c>
      <c r="G1585">
        <f t="shared" si="96"/>
        <v>9.5677803502010477</v>
      </c>
      <c r="H1585">
        <f t="shared" si="97"/>
        <v>3.8485019805187077</v>
      </c>
      <c r="I1585">
        <f t="shared" si="98"/>
        <v>3.4753156839541091</v>
      </c>
    </row>
    <row r="1586" spans="1:9" x14ac:dyDescent="0.25">
      <c r="A1586" t="s">
        <v>304</v>
      </c>
      <c r="B1586" t="str">
        <f t="shared" si="99"/>
        <v>SR101+0.47100</v>
      </c>
      <c r="C1586">
        <v>0.47</v>
      </c>
      <c r="D1586">
        <v>100</v>
      </c>
      <c r="E1586">
        <v>0.34886355002420072</v>
      </c>
      <c r="F1586">
        <v>39.166800000000002</v>
      </c>
      <c r="G1586">
        <f t="shared" si="96"/>
        <v>9.9318751928383904</v>
      </c>
      <c r="H1586">
        <f t="shared" si="97"/>
        <v>4.0377725697245452</v>
      </c>
      <c r="I1586">
        <f t="shared" si="98"/>
        <v>3.512564780070504</v>
      </c>
    </row>
    <row r="1587" spans="1:9" x14ac:dyDescent="0.25">
      <c r="A1587" t="s">
        <v>304</v>
      </c>
      <c r="B1587" t="str">
        <f t="shared" si="99"/>
        <v>SR101+0.47110</v>
      </c>
      <c r="C1587">
        <v>0.47</v>
      </c>
      <c r="D1587">
        <v>110</v>
      </c>
      <c r="E1587">
        <v>0.36521652893158513</v>
      </c>
      <c r="F1587">
        <v>40.386000000000003</v>
      </c>
      <c r="G1587">
        <f t="shared" si="96"/>
        <v>10.256507388887542</v>
      </c>
      <c r="H1587">
        <f t="shared" si="97"/>
        <v>4.2270431589303836</v>
      </c>
      <c r="I1587">
        <f t="shared" si="98"/>
        <v>3.5608274345639392</v>
      </c>
    </row>
    <row r="1588" spans="1:9" x14ac:dyDescent="0.25">
      <c r="A1588" t="s">
        <v>304</v>
      </c>
      <c r="B1588" t="str">
        <f t="shared" si="99"/>
        <v>SR101+0.5530</v>
      </c>
      <c r="C1588">
        <v>0.55000000000000004</v>
      </c>
      <c r="D1588">
        <v>30</v>
      </c>
      <c r="E1588">
        <v>0.26164766251815053</v>
      </c>
      <c r="F1588">
        <v>28.498800000000003</v>
      </c>
      <c r="G1588">
        <f t="shared" si="96"/>
        <v>7.1311828462448617</v>
      </c>
      <c r="H1588">
        <f t="shared" si="97"/>
        <v>3.0283294272934085</v>
      </c>
      <c r="I1588">
        <f t="shared" si="98"/>
        <v>3.6690639990521206</v>
      </c>
    </row>
    <row r="1589" spans="1:9" x14ac:dyDescent="0.25">
      <c r="A1589" t="s">
        <v>304</v>
      </c>
      <c r="B1589" t="str">
        <f t="shared" si="99"/>
        <v>SR101+0.5540</v>
      </c>
      <c r="C1589">
        <v>0.55000000000000004</v>
      </c>
      <c r="D1589">
        <v>40</v>
      </c>
      <c r="E1589">
        <v>0.2998046133020475</v>
      </c>
      <c r="F1589">
        <v>30.937200000000001</v>
      </c>
      <c r="G1589">
        <f t="shared" si="96"/>
        <v>7.7650368451228644</v>
      </c>
      <c r="H1589">
        <f t="shared" si="97"/>
        <v>3.469960802107031</v>
      </c>
      <c r="I1589">
        <f t="shared" si="98"/>
        <v>3.8609554504606312</v>
      </c>
    </row>
    <row r="1590" spans="1:9" x14ac:dyDescent="0.25">
      <c r="A1590" t="s">
        <v>304</v>
      </c>
      <c r="B1590" t="str">
        <f t="shared" si="99"/>
        <v>SR101+0.5550</v>
      </c>
      <c r="C1590">
        <v>0.55000000000000004</v>
      </c>
      <c r="D1590">
        <v>50</v>
      </c>
      <c r="E1590">
        <v>0.33796156408594441</v>
      </c>
      <c r="F1590">
        <v>32.765999999999998</v>
      </c>
      <c r="G1590">
        <f t="shared" si="96"/>
        <v>8.2428789977482353</v>
      </c>
      <c r="H1590">
        <f t="shared" si="97"/>
        <v>3.9115921769206525</v>
      </c>
      <c r="I1590">
        <f t="shared" si="98"/>
        <v>4.1000427663473857</v>
      </c>
    </row>
    <row r="1591" spans="1:9" x14ac:dyDescent="0.25">
      <c r="A1591" t="s">
        <v>304</v>
      </c>
      <c r="B1591" t="str">
        <f t="shared" si="99"/>
        <v>SR101+0.5560</v>
      </c>
      <c r="C1591">
        <v>0.55000000000000004</v>
      </c>
      <c r="D1591">
        <v>60</v>
      </c>
      <c r="E1591">
        <v>0.36521652893158513</v>
      </c>
      <c r="F1591">
        <v>35.052</v>
      </c>
      <c r="G1591">
        <f t="shared" si="96"/>
        <v>8.8431368065480598</v>
      </c>
      <c r="H1591">
        <f t="shared" si="97"/>
        <v>4.2270431589303836</v>
      </c>
      <c r="I1591">
        <f t="shared" si="98"/>
        <v>4.1299432194824126</v>
      </c>
    </row>
    <row r="1592" spans="1:9" x14ac:dyDescent="0.25">
      <c r="A1592" t="s">
        <v>304</v>
      </c>
      <c r="B1592" t="str">
        <f t="shared" si="99"/>
        <v>SR101+0.5570</v>
      </c>
      <c r="C1592">
        <v>0.55000000000000004</v>
      </c>
      <c r="D1592">
        <v>70</v>
      </c>
      <c r="E1592">
        <v>0.39792248674635394</v>
      </c>
      <c r="F1592">
        <v>37.185600000000001</v>
      </c>
      <c r="G1592">
        <f t="shared" si="96"/>
        <v>9.4063398427003477</v>
      </c>
      <c r="H1592">
        <f t="shared" si="97"/>
        <v>4.6055843373420595</v>
      </c>
      <c r="I1592">
        <f t="shared" si="98"/>
        <v>4.2303647688761306</v>
      </c>
    </row>
    <row r="1593" spans="1:9" x14ac:dyDescent="0.25">
      <c r="A1593" t="s">
        <v>304</v>
      </c>
      <c r="B1593" t="str">
        <f t="shared" si="99"/>
        <v>SR101+0.5580</v>
      </c>
      <c r="C1593">
        <v>0.55000000000000004</v>
      </c>
      <c r="D1593">
        <v>80</v>
      </c>
      <c r="E1593">
        <v>0.42517745159199466</v>
      </c>
      <c r="F1593">
        <v>39.166800000000002</v>
      </c>
      <c r="G1593">
        <f t="shared" si="96"/>
        <v>9.9318751928383904</v>
      </c>
      <c r="H1593">
        <f t="shared" si="97"/>
        <v>4.9210353193517902</v>
      </c>
      <c r="I1593">
        <f t="shared" si="98"/>
        <v>4.2809383257109266</v>
      </c>
    </row>
    <row r="1594" spans="1:9" x14ac:dyDescent="0.25">
      <c r="A1594" t="s">
        <v>304</v>
      </c>
      <c r="B1594" t="str">
        <f t="shared" si="99"/>
        <v>SR101+0.5590</v>
      </c>
      <c r="C1594">
        <v>0.55000000000000004</v>
      </c>
      <c r="D1594">
        <v>90</v>
      </c>
      <c r="E1594">
        <v>0.45243241643763532</v>
      </c>
      <c r="F1594">
        <v>40.995600000000003</v>
      </c>
      <c r="G1594">
        <f t="shared" si="96"/>
        <v>10.419173723121673</v>
      </c>
      <c r="H1594">
        <f t="shared" si="97"/>
        <v>5.2364863013615199</v>
      </c>
      <c r="I1594">
        <f t="shared" si="98"/>
        <v>4.3423061027730201</v>
      </c>
    </row>
    <row r="1595" spans="1:9" x14ac:dyDescent="0.25">
      <c r="A1595" t="s">
        <v>304</v>
      </c>
      <c r="B1595" t="str">
        <f t="shared" si="99"/>
        <v>SR101+0.55100</v>
      </c>
      <c r="C1595">
        <v>0.55000000000000004</v>
      </c>
      <c r="D1595">
        <v>100</v>
      </c>
      <c r="E1595">
        <v>0.47423638831414783</v>
      </c>
      <c r="F1595">
        <v>42.672000000000004</v>
      </c>
      <c r="G1595">
        <f t="shared" si="96"/>
        <v>10.867710079235856</v>
      </c>
      <c r="H1595">
        <f t="shared" si="97"/>
        <v>5.4888470869693036</v>
      </c>
      <c r="I1595">
        <f t="shared" si="98"/>
        <v>4.3637195403311031</v>
      </c>
    </row>
    <row r="1596" spans="1:9" x14ac:dyDescent="0.25">
      <c r="A1596" t="s">
        <v>304</v>
      </c>
      <c r="B1596" t="str">
        <f t="shared" si="99"/>
        <v>SR101+0.55110</v>
      </c>
      <c r="C1596">
        <v>0.55000000000000004</v>
      </c>
      <c r="D1596">
        <v>110</v>
      </c>
      <c r="E1596">
        <v>0.49604036019066039</v>
      </c>
      <c r="F1596">
        <v>44.196000000000005</v>
      </c>
      <c r="G1596">
        <f t="shared" si="96"/>
        <v>11.277002686392827</v>
      </c>
      <c r="H1596">
        <f t="shared" si="97"/>
        <v>5.7412078725770872</v>
      </c>
      <c r="I1596">
        <f t="shared" si="98"/>
        <v>4.3986897403970451</v>
      </c>
    </row>
    <row r="1597" spans="1:9" x14ac:dyDescent="0.25">
      <c r="A1597" t="s">
        <v>304</v>
      </c>
      <c r="B1597" t="str">
        <f t="shared" si="99"/>
        <v>SR101+0.6330</v>
      </c>
      <c r="C1597">
        <v>0.63</v>
      </c>
      <c r="D1597">
        <v>30</v>
      </c>
      <c r="E1597">
        <v>0.33796156408594441</v>
      </c>
      <c r="F1597">
        <v>30.632400000000001</v>
      </c>
      <c r="G1597">
        <f t="shared" si="96"/>
        <v>7.6856007908075412</v>
      </c>
      <c r="H1597">
        <f t="shared" si="97"/>
        <v>3.9115921769206525</v>
      </c>
      <c r="I1597">
        <f t="shared" si="98"/>
        <v>4.3973343566083676</v>
      </c>
    </row>
    <row r="1598" spans="1:9" x14ac:dyDescent="0.25">
      <c r="A1598" t="s">
        <v>304</v>
      </c>
      <c r="B1598" t="str">
        <f t="shared" si="99"/>
        <v>SR101+0.6340</v>
      </c>
      <c r="C1598">
        <v>0.63</v>
      </c>
      <c r="D1598">
        <v>40</v>
      </c>
      <c r="E1598">
        <v>0.39247149377722579</v>
      </c>
      <c r="F1598">
        <v>33.527999999999999</v>
      </c>
      <c r="G1598">
        <f t="shared" si="96"/>
        <v>8.4426001046298964</v>
      </c>
      <c r="H1598">
        <f t="shared" si="97"/>
        <v>4.5424941409401134</v>
      </c>
      <c r="I1598">
        <f t="shared" si="98"/>
        <v>4.6487040593335172</v>
      </c>
    </row>
    <row r="1599" spans="1:9" x14ac:dyDescent="0.25">
      <c r="A1599" t="s">
        <v>304</v>
      </c>
      <c r="B1599" t="str">
        <f t="shared" si="99"/>
        <v>SR101+0.6350</v>
      </c>
      <c r="C1599">
        <v>0.63</v>
      </c>
      <c r="D1599">
        <v>50</v>
      </c>
      <c r="E1599">
        <v>0.43607943753025091</v>
      </c>
      <c r="F1599">
        <v>35.3568</v>
      </c>
      <c r="G1599">
        <f t="shared" si="96"/>
        <v>8.9234192650364648</v>
      </c>
      <c r="H1599">
        <f t="shared" si="97"/>
        <v>5.0472157121556815</v>
      </c>
      <c r="I1599">
        <f t="shared" si="98"/>
        <v>4.8869096540032286</v>
      </c>
    </row>
    <row r="1600" spans="1:9" x14ac:dyDescent="0.25">
      <c r="A1600" t="s">
        <v>304</v>
      </c>
      <c r="B1600" t="str">
        <f t="shared" si="99"/>
        <v>SR101+0.6360</v>
      </c>
      <c r="C1600">
        <v>0.63</v>
      </c>
      <c r="D1600">
        <v>60</v>
      </c>
      <c r="E1600">
        <v>0.47968738128327598</v>
      </c>
      <c r="F1600">
        <v>37.642800000000001</v>
      </c>
      <c r="G1600">
        <f t="shared" si="96"/>
        <v>9.5273983335627648</v>
      </c>
      <c r="H1600">
        <f t="shared" si="97"/>
        <v>5.5519372833712497</v>
      </c>
      <c r="I1600">
        <f t="shared" si="98"/>
        <v>5.0348202572096845</v>
      </c>
    </row>
    <row r="1601" spans="1:9" x14ac:dyDescent="0.25">
      <c r="A1601" t="s">
        <v>304</v>
      </c>
      <c r="B1601" t="str">
        <f t="shared" si="99"/>
        <v>SR101+0.6370</v>
      </c>
      <c r="C1601">
        <v>0.63</v>
      </c>
      <c r="D1601">
        <v>70</v>
      </c>
      <c r="E1601">
        <v>0.51784433206717295</v>
      </c>
      <c r="F1601">
        <v>39.928800000000003</v>
      </c>
      <c r="G1601">
        <f t="shared" si="96"/>
        <v>10.134660866553624</v>
      </c>
      <c r="H1601">
        <f t="shared" si="97"/>
        <v>5.9935686581848717</v>
      </c>
      <c r="I1601">
        <f t="shared" si="98"/>
        <v>5.109636512615447</v>
      </c>
    </row>
    <row r="1602" spans="1:9" x14ac:dyDescent="0.25">
      <c r="A1602" t="s">
        <v>304</v>
      </c>
      <c r="B1602" t="str">
        <f t="shared" si="99"/>
        <v>SR101+0.6380</v>
      </c>
      <c r="C1602">
        <v>0.63</v>
      </c>
      <c r="D1602">
        <v>80</v>
      </c>
      <c r="E1602">
        <v>0.55600128285106987</v>
      </c>
      <c r="F1602">
        <v>42.062400000000004</v>
      </c>
      <c r="G1602">
        <f t="shared" si="96"/>
        <v>10.704401645284221</v>
      </c>
      <c r="H1602">
        <f t="shared" si="97"/>
        <v>6.4352000329984937</v>
      </c>
      <c r="I1602">
        <f t="shared" si="98"/>
        <v>5.1941369660397019</v>
      </c>
    </row>
    <row r="1603" spans="1:9" x14ac:dyDescent="0.25">
      <c r="A1603" t="s">
        <v>304</v>
      </c>
      <c r="B1603" t="str">
        <f t="shared" si="99"/>
        <v>SR101+0.6390</v>
      </c>
      <c r="C1603">
        <v>0.63</v>
      </c>
      <c r="D1603">
        <v>90</v>
      </c>
      <c r="E1603">
        <v>0.58870724066583879</v>
      </c>
      <c r="F1603">
        <v>44.043600000000005</v>
      </c>
      <c r="G1603">
        <f t="shared" ref="G1603:G1666" si="100">(PI()*(G$1+F1603)^2)/10000-((PI()*(G$1)^2)/10000)</f>
        <v>11.236007756387835</v>
      </c>
      <c r="H1603">
        <f t="shared" ref="H1603:H1666" si="101">E1603/0.0864</f>
        <v>6.8137412114101705</v>
      </c>
      <c r="I1603">
        <f t="shared" ref="I1603:I1666" si="102">E1603/G1603*100</f>
        <v>5.239469867143427</v>
      </c>
    </row>
    <row r="1604" spans="1:9" x14ac:dyDescent="0.25">
      <c r="A1604" t="s">
        <v>304</v>
      </c>
      <c r="B1604" t="str">
        <f t="shared" si="99"/>
        <v>SR101+0.63100</v>
      </c>
      <c r="C1604">
        <v>0.63</v>
      </c>
      <c r="D1604">
        <v>100</v>
      </c>
      <c r="E1604">
        <v>0.62141319848060761</v>
      </c>
      <c r="F1604">
        <v>45.72</v>
      </c>
      <c r="G1604">
        <f t="shared" si="100"/>
        <v>11.687754611089588</v>
      </c>
      <c r="H1604">
        <f t="shared" si="101"/>
        <v>7.1922823898218473</v>
      </c>
      <c r="I1604">
        <f t="shared" si="102"/>
        <v>5.3167885462875626</v>
      </c>
    </row>
    <row r="1605" spans="1:9" x14ac:dyDescent="0.25">
      <c r="A1605" t="s">
        <v>304</v>
      </c>
      <c r="B1605" t="str">
        <f t="shared" si="99"/>
        <v>SR101+0.63110</v>
      </c>
      <c r="C1605">
        <v>0.63</v>
      </c>
      <c r="D1605">
        <v>110</v>
      </c>
      <c r="E1605">
        <v>0.64866816332624821</v>
      </c>
      <c r="F1605">
        <v>47.244</v>
      </c>
      <c r="G1605">
        <f t="shared" si="100"/>
        <v>12.099965853326161</v>
      </c>
      <c r="H1605">
        <f t="shared" si="101"/>
        <v>7.5077333718315762</v>
      </c>
      <c r="I1605">
        <f t="shared" si="102"/>
        <v>5.3609090404824222</v>
      </c>
    </row>
    <row r="1606" spans="1:9" x14ac:dyDescent="0.25">
      <c r="A1606" t="s">
        <v>304</v>
      </c>
      <c r="B1606" t="str">
        <f t="shared" si="99"/>
        <v>SR101+0.6730</v>
      </c>
      <c r="C1606">
        <v>0.67</v>
      </c>
      <c r="D1606">
        <v>30</v>
      </c>
      <c r="E1606">
        <v>0.38156950783896953</v>
      </c>
      <c r="F1606">
        <v>31.851600000000001</v>
      </c>
      <c r="G1606">
        <f t="shared" si="100"/>
        <v>8.0036952442783971</v>
      </c>
      <c r="H1606">
        <f t="shared" si="101"/>
        <v>4.4163137481362211</v>
      </c>
      <c r="I1606">
        <f t="shared" si="102"/>
        <v>4.7674167518027648</v>
      </c>
    </row>
    <row r="1607" spans="1:9" x14ac:dyDescent="0.25">
      <c r="A1607" t="s">
        <v>304</v>
      </c>
      <c r="B1607" t="str">
        <f t="shared" si="99"/>
        <v>SR101+0.6740</v>
      </c>
      <c r="C1607">
        <v>0.67</v>
      </c>
      <c r="D1607">
        <v>40</v>
      </c>
      <c r="E1607">
        <v>0.44153043049937907</v>
      </c>
      <c r="F1607">
        <v>34.594799999999999</v>
      </c>
      <c r="G1607">
        <f t="shared" si="100"/>
        <v>8.7228225676309279</v>
      </c>
      <c r="H1607">
        <f t="shared" si="101"/>
        <v>5.1103059085576277</v>
      </c>
      <c r="I1607">
        <f t="shared" si="102"/>
        <v>5.0617839245960541</v>
      </c>
    </row>
    <row r="1608" spans="1:9" x14ac:dyDescent="0.25">
      <c r="A1608" t="s">
        <v>304</v>
      </c>
      <c r="B1608" t="str">
        <f t="shared" si="99"/>
        <v>SR101+0.6750</v>
      </c>
      <c r="C1608">
        <v>0.67</v>
      </c>
      <c r="D1608">
        <v>50</v>
      </c>
      <c r="E1608">
        <v>0.49604036019066039</v>
      </c>
      <c r="F1608">
        <v>36.728400000000001</v>
      </c>
      <c r="G1608">
        <f t="shared" si="100"/>
        <v>9.2854126904165</v>
      </c>
      <c r="H1608">
        <f t="shared" si="101"/>
        <v>5.7412078725770872</v>
      </c>
      <c r="I1608">
        <f t="shared" si="102"/>
        <v>5.342146619962568</v>
      </c>
    </row>
    <row r="1609" spans="1:9" x14ac:dyDescent="0.25">
      <c r="A1609" t="s">
        <v>304</v>
      </c>
      <c r="B1609" t="str">
        <f t="shared" si="99"/>
        <v>SR101+0.6760</v>
      </c>
      <c r="C1609">
        <v>0.67</v>
      </c>
      <c r="D1609">
        <v>60</v>
      </c>
      <c r="E1609">
        <v>0.53964830394368546</v>
      </c>
      <c r="F1609">
        <v>39.166800000000002</v>
      </c>
      <c r="G1609">
        <f t="shared" si="100"/>
        <v>9.9318751928383904</v>
      </c>
      <c r="H1609">
        <f t="shared" si="101"/>
        <v>6.2459294437926554</v>
      </c>
      <c r="I1609">
        <f t="shared" si="102"/>
        <v>5.4334986441715607</v>
      </c>
    </row>
    <row r="1610" spans="1:9" x14ac:dyDescent="0.25">
      <c r="A1610" t="s">
        <v>304</v>
      </c>
      <c r="B1610" t="str">
        <f t="shared" si="99"/>
        <v>SR101+0.6770</v>
      </c>
      <c r="C1610">
        <v>0.67</v>
      </c>
      <c r="D1610">
        <v>70</v>
      </c>
      <c r="E1610">
        <v>0.58325624769671058</v>
      </c>
      <c r="F1610">
        <v>41.300400000000003</v>
      </c>
      <c r="G1610">
        <f t="shared" si="100"/>
        <v>10.500594449291128</v>
      </c>
      <c r="H1610">
        <f t="shared" si="101"/>
        <v>6.7506510150082244</v>
      </c>
      <c r="I1610">
        <f t="shared" si="102"/>
        <v>5.5545069425672837</v>
      </c>
    </row>
    <row r="1611" spans="1:9" x14ac:dyDescent="0.25">
      <c r="A1611" t="s">
        <v>304</v>
      </c>
      <c r="B1611" t="str">
        <f t="shared" si="99"/>
        <v>SR101+0.6780</v>
      </c>
      <c r="C1611">
        <v>0.67</v>
      </c>
      <c r="D1611">
        <v>80</v>
      </c>
      <c r="E1611">
        <v>0.62686419144973571</v>
      </c>
      <c r="F1611">
        <v>43.434000000000005</v>
      </c>
      <c r="G1611">
        <f t="shared" si="100"/>
        <v>11.072173968121874</v>
      </c>
      <c r="H1611">
        <f t="shared" si="101"/>
        <v>7.2553725862237926</v>
      </c>
      <c r="I1611">
        <f t="shared" si="102"/>
        <v>5.6616179736206593</v>
      </c>
    </row>
    <row r="1612" spans="1:9" x14ac:dyDescent="0.25">
      <c r="A1612" t="s">
        <v>304</v>
      </c>
      <c r="B1612" t="str">
        <f t="shared" si="99"/>
        <v>SR101+0.6790</v>
      </c>
      <c r="C1612">
        <v>0.67</v>
      </c>
      <c r="D1612">
        <v>90</v>
      </c>
      <c r="E1612">
        <v>0.66502114223363273</v>
      </c>
      <c r="F1612">
        <v>45.567599999999999</v>
      </c>
      <c r="G1612">
        <f t="shared" si="100"/>
        <v>11.646613749330612</v>
      </c>
      <c r="H1612">
        <f t="shared" si="101"/>
        <v>7.6970039610374155</v>
      </c>
      <c r="I1612">
        <f t="shared" si="102"/>
        <v>5.7099956824090157</v>
      </c>
    </row>
    <row r="1613" spans="1:9" x14ac:dyDescent="0.25">
      <c r="A1613" t="s">
        <v>304</v>
      </c>
      <c r="B1613" t="str">
        <f t="shared" si="99"/>
        <v>SR101+0.67100</v>
      </c>
      <c r="C1613">
        <v>0.67</v>
      </c>
      <c r="D1613">
        <v>100</v>
      </c>
      <c r="E1613">
        <v>0.69772710004840144</v>
      </c>
      <c r="F1613">
        <v>47.244</v>
      </c>
      <c r="G1613">
        <f t="shared" si="100"/>
        <v>12.099965853326161</v>
      </c>
      <c r="H1613">
        <f t="shared" si="101"/>
        <v>8.0755451394490905</v>
      </c>
      <c r="I1613">
        <f t="shared" si="102"/>
        <v>5.7663559427037816</v>
      </c>
    </row>
    <row r="1614" spans="1:9" x14ac:dyDescent="0.25">
      <c r="A1614" t="s">
        <v>304</v>
      </c>
      <c r="B1614" t="str">
        <f t="shared" si="99"/>
        <v>SR101+0.67110</v>
      </c>
      <c r="C1614">
        <v>0.67</v>
      </c>
      <c r="D1614">
        <v>110</v>
      </c>
      <c r="E1614">
        <v>0.73588405083229835</v>
      </c>
      <c r="F1614">
        <v>48.920400000000001</v>
      </c>
      <c r="G1614">
        <f t="shared" si="100"/>
        <v>12.55508373154484</v>
      </c>
      <c r="H1614">
        <f t="shared" si="101"/>
        <v>8.5171765142627116</v>
      </c>
      <c r="I1614">
        <f t="shared" si="102"/>
        <v>5.8612436728189898</v>
      </c>
    </row>
    <row r="1615" spans="1:9" x14ac:dyDescent="0.25">
      <c r="A1615" t="s">
        <v>304</v>
      </c>
      <c r="B1615" t="str">
        <f t="shared" si="99"/>
        <v>SR101+0.7130</v>
      </c>
      <c r="C1615">
        <v>0.71</v>
      </c>
      <c r="D1615">
        <v>30</v>
      </c>
      <c r="E1615">
        <v>0.43062844456112276</v>
      </c>
      <c r="F1615">
        <v>33.070799999999998</v>
      </c>
      <c r="G1615">
        <f t="shared" si="100"/>
        <v>8.3227236609747166</v>
      </c>
      <c r="H1615">
        <f t="shared" si="101"/>
        <v>4.9841255157537354</v>
      </c>
      <c r="I1615">
        <f t="shared" si="102"/>
        <v>5.1741288321314958</v>
      </c>
    </row>
    <row r="1616" spans="1:9" x14ac:dyDescent="0.25">
      <c r="A1616" t="s">
        <v>304</v>
      </c>
      <c r="B1616" t="str">
        <f t="shared" si="99"/>
        <v>SR101+0.7140</v>
      </c>
      <c r="C1616">
        <v>0.71</v>
      </c>
      <c r="D1616">
        <v>40</v>
      </c>
      <c r="E1616">
        <v>0.49604036019066039</v>
      </c>
      <c r="F1616">
        <v>35.6616</v>
      </c>
      <c r="G1616">
        <f t="shared" si="100"/>
        <v>9.0037600962264648</v>
      </c>
      <c r="H1616">
        <f t="shared" si="101"/>
        <v>5.7412078725770872</v>
      </c>
      <c r="I1616">
        <f t="shared" si="102"/>
        <v>5.5092578532668162</v>
      </c>
    </row>
    <row r="1617" spans="1:9" x14ac:dyDescent="0.25">
      <c r="A1617" t="s">
        <v>304</v>
      </c>
      <c r="B1617" t="str">
        <f t="shared" si="99"/>
        <v>SR101+0.7150</v>
      </c>
      <c r="C1617">
        <v>0.71</v>
      </c>
      <c r="D1617">
        <v>50</v>
      </c>
      <c r="E1617">
        <v>0.55600128285106987</v>
      </c>
      <c r="F1617">
        <v>38.1</v>
      </c>
      <c r="G1617">
        <f t="shared" si="100"/>
        <v>9.6485881630037866</v>
      </c>
      <c r="H1617">
        <f t="shared" si="101"/>
        <v>6.4352000329984937</v>
      </c>
      <c r="I1617">
        <f t="shared" si="102"/>
        <v>5.7625144058172362</v>
      </c>
    </row>
    <row r="1618" spans="1:9" x14ac:dyDescent="0.25">
      <c r="A1618" t="s">
        <v>304</v>
      </c>
      <c r="B1618" t="str">
        <f t="shared" si="99"/>
        <v>SR101+0.7160</v>
      </c>
      <c r="C1618">
        <v>0.71</v>
      </c>
      <c r="D1618">
        <v>60</v>
      </c>
      <c r="E1618">
        <v>0.6050602195732232</v>
      </c>
      <c r="F1618">
        <v>40.538400000000003</v>
      </c>
      <c r="G1618">
        <f t="shared" si="100"/>
        <v>10.297152082682977</v>
      </c>
      <c r="H1618">
        <f t="shared" si="101"/>
        <v>7.0030118006160089</v>
      </c>
      <c r="I1618">
        <f t="shared" si="102"/>
        <v>5.8759957579996387</v>
      </c>
    </row>
    <row r="1619" spans="1:9" x14ac:dyDescent="0.25">
      <c r="A1619" t="s">
        <v>304</v>
      </c>
      <c r="B1619" t="str">
        <f t="shared" si="99"/>
        <v>SR101+0.7170</v>
      </c>
      <c r="C1619">
        <v>0.71</v>
      </c>
      <c r="D1619">
        <v>70</v>
      </c>
      <c r="E1619">
        <v>0.65411915629537642</v>
      </c>
      <c r="F1619">
        <v>42.672000000000004</v>
      </c>
      <c r="G1619">
        <f t="shared" si="100"/>
        <v>10.867710079235856</v>
      </c>
      <c r="H1619">
        <f t="shared" si="101"/>
        <v>7.5708235682335232</v>
      </c>
      <c r="I1619">
        <f t="shared" si="102"/>
        <v>6.0189235039049711</v>
      </c>
    </row>
    <row r="1620" spans="1:9" x14ac:dyDescent="0.25">
      <c r="A1620" t="s">
        <v>304</v>
      </c>
      <c r="B1620" t="str">
        <f t="shared" si="99"/>
        <v>SR101+0.7180</v>
      </c>
      <c r="C1620">
        <v>0.71</v>
      </c>
      <c r="D1620">
        <v>80</v>
      </c>
      <c r="E1620">
        <v>0.70317809301752954</v>
      </c>
      <c r="F1620">
        <v>44.805600000000005</v>
      </c>
      <c r="G1620">
        <f t="shared" si="100"/>
        <v>11.441128338166763</v>
      </c>
      <c r="H1620">
        <f t="shared" si="101"/>
        <v>8.1386353358510366</v>
      </c>
      <c r="I1620">
        <f t="shared" si="102"/>
        <v>6.14605546090921</v>
      </c>
    </row>
    <row r="1621" spans="1:9" x14ac:dyDescent="0.25">
      <c r="A1621" t="s">
        <v>304</v>
      </c>
      <c r="B1621" t="str">
        <f t="shared" si="99"/>
        <v>SR101+0.7190</v>
      </c>
      <c r="C1621">
        <v>0.71</v>
      </c>
      <c r="D1621">
        <v>90</v>
      </c>
      <c r="E1621">
        <v>0.74678603677055466</v>
      </c>
      <c r="F1621">
        <v>46.9392</v>
      </c>
      <c r="G1621">
        <f t="shared" si="100"/>
        <v>12.017406859475663</v>
      </c>
      <c r="H1621">
        <f t="shared" si="101"/>
        <v>8.6433569070666039</v>
      </c>
      <c r="I1621">
        <f t="shared" si="102"/>
        <v>6.2142028268079956</v>
      </c>
    </row>
    <row r="1622" spans="1:9" x14ac:dyDescent="0.25">
      <c r="A1622" t="s">
        <v>304</v>
      </c>
      <c r="B1622" t="str">
        <f t="shared" si="99"/>
        <v>SR101+0.71100</v>
      </c>
      <c r="C1622">
        <v>0.71</v>
      </c>
      <c r="D1622">
        <v>100</v>
      </c>
      <c r="E1622">
        <v>0.78494298755445158</v>
      </c>
      <c r="F1622">
        <v>48.768000000000001</v>
      </c>
      <c r="G1622">
        <f t="shared" si="100"/>
        <v>12.513636413102525</v>
      </c>
      <c r="H1622">
        <f t="shared" si="101"/>
        <v>9.0849882818802268</v>
      </c>
      <c r="I1622">
        <f t="shared" si="102"/>
        <v>6.2727009291445395</v>
      </c>
    </row>
    <row r="1623" spans="1:9" x14ac:dyDescent="0.25">
      <c r="A1623" t="s">
        <v>304</v>
      </c>
      <c r="B1623" t="str">
        <f t="shared" si="99"/>
        <v>SR101+0.71110</v>
      </c>
      <c r="C1623">
        <v>0.71</v>
      </c>
      <c r="D1623">
        <v>110</v>
      </c>
      <c r="E1623">
        <v>0.8230999383383486</v>
      </c>
      <c r="F1623">
        <v>50.444400000000002</v>
      </c>
      <c r="G1623">
        <f t="shared" si="100"/>
        <v>12.970359540614986</v>
      </c>
      <c r="H1623">
        <f t="shared" si="101"/>
        <v>9.5266196566938497</v>
      </c>
      <c r="I1623">
        <f t="shared" si="102"/>
        <v>6.3460071076743771</v>
      </c>
    </row>
    <row r="1624" spans="1:9" x14ac:dyDescent="0.25">
      <c r="A1624" t="s">
        <v>304</v>
      </c>
      <c r="B1624" t="str">
        <f t="shared" si="99"/>
        <v>SR101+0.7530</v>
      </c>
      <c r="C1624">
        <v>0.75</v>
      </c>
      <c r="D1624">
        <v>30</v>
      </c>
      <c r="E1624">
        <v>0.47968738128327598</v>
      </c>
      <c r="F1624">
        <v>34.29</v>
      </c>
      <c r="G1624">
        <f t="shared" si="100"/>
        <v>8.6426860408964998</v>
      </c>
      <c r="H1624">
        <f t="shared" si="101"/>
        <v>5.5519372833712497</v>
      </c>
      <c r="I1624">
        <f t="shared" si="102"/>
        <v>5.5502118093082826</v>
      </c>
    </row>
    <row r="1625" spans="1:9" x14ac:dyDescent="0.25">
      <c r="A1625" t="s">
        <v>304</v>
      </c>
      <c r="B1625" t="str">
        <f t="shared" si="99"/>
        <v>SR101+0.7540</v>
      </c>
      <c r="C1625">
        <v>0.75</v>
      </c>
      <c r="D1625">
        <v>40</v>
      </c>
      <c r="E1625">
        <v>0.55055028988194177</v>
      </c>
      <c r="F1625">
        <v>36.880800000000001</v>
      </c>
      <c r="G1625">
        <f t="shared" si="100"/>
        <v>9.3257071480023868</v>
      </c>
      <c r="H1625">
        <f t="shared" si="101"/>
        <v>6.3721098365965476</v>
      </c>
      <c r="I1625">
        <f t="shared" si="102"/>
        <v>5.9035768670890807</v>
      </c>
    </row>
    <row r="1626" spans="1:9" x14ac:dyDescent="0.25">
      <c r="A1626" t="s">
        <v>304</v>
      </c>
      <c r="B1626" t="str">
        <f t="shared" si="99"/>
        <v>SR101+0.7550</v>
      </c>
      <c r="C1626">
        <v>0.75</v>
      </c>
      <c r="D1626">
        <v>50</v>
      </c>
      <c r="E1626">
        <v>0.6159622055114794</v>
      </c>
      <c r="F1626">
        <v>39.471600000000002</v>
      </c>
      <c r="G1626">
        <f t="shared" si="100"/>
        <v>10.012945682798296</v>
      </c>
      <c r="H1626">
        <f t="shared" si="101"/>
        <v>7.1291921934199003</v>
      </c>
      <c r="I1626">
        <f t="shared" si="102"/>
        <v>6.1516583133939244</v>
      </c>
    </row>
    <row r="1627" spans="1:9" x14ac:dyDescent="0.25">
      <c r="A1627" t="s">
        <v>304</v>
      </c>
      <c r="B1627" t="str">
        <f t="shared" si="99"/>
        <v>SR101+0.7560</v>
      </c>
      <c r="C1627">
        <v>0.75</v>
      </c>
      <c r="D1627">
        <v>60</v>
      </c>
      <c r="E1627">
        <v>0.67592312817188882</v>
      </c>
      <c r="F1627">
        <v>41.757600000000004</v>
      </c>
      <c r="G1627">
        <f t="shared" si="100"/>
        <v>10.622834987360797</v>
      </c>
      <c r="H1627">
        <f t="shared" si="101"/>
        <v>7.8231843538413051</v>
      </c>
      <c r="I1627">
        <f t="shared" si="102"/>
        <v>6.3629259889296215</v>
      </c>
    </row>
    <row r="1628" spans="1:9" x14ac:dyDescent="0.25">
      <c r="A1628" t="s">
        <v>304</v>
      </c>
      <c r="B1628" t="str">
        <f t="shared" si="99"/>
        <v>SR101+0.7570</v>
      </c>
      <c r="C1628">
        <v>0.75</v>
      </c>
      <c r="D1628">
        <v>70</v>
      </c>
      <c r="E1628">
        <v>0.73043305786317025</v>
      </c>
      <c r="F1628">
        <v>44.043600000000005</v>
      </c>
      <c r="G1628">
        <f t="shared" si="100"/>
        <v>11.236007756387835</v>
      </c>
      <c r="H1628">
        <f t="shared" si="101"/>
        <v>8.4540863178607673</v>
      </c>
      <c r="I1628">
        <f t="shared" si="102"/>
        <v>6.500823724048324</v>
      </c>
    </row>
    <row r="1629" spans="1:9" x14ac:dyDescent="0.25">
      <c r="A1629" t="s">
        <v>304</v>
      </c>
      <c r="B1629" t="str">
        <f t="shared" si="99"/>
        <v>SR101+0.7580</v>
      </c>
      <c r="C1629">
        <v>0.75</v>
      </c>
      <c r="D1629">
        <v>80</v>
      </c>
      <c r="E1629">
        <v>0.77949199458532348</v>
      </c>
      <c r="F1629">
        <v>46.177199999999999</v>
      </c>
      <c r="G1629">
        <f t="shared" si="100"/>
        <v>11.811264755418868</v>
      </c>
      <c r="H1629">
        <f t="shared" si="101"/>
        <v>9.0218980854782806</v>
      </c>
      <c r="I1629">
        <f t="shared" si="102"/>
        <v>6.5995641510592824</v>
      </c>
    </row>
    <row r="1630" spans="1:9" x14ac:dyDescent="0.25">
      <c r="A1630" t="s">
        <v>304</v>
      </c>
      <c r="B1630" t="str">
        <f t="shared" si="99"/>
        <v>SR101+0.7590</v>
      </c>
      <c r="C1630">
        <v>0.75</v>
      </c>
      <c r="D1630">
        <v>90</v>
      </c>
      <c r="E1630">
        <v>0.8285509313074767</v>
      </c>
      <c r="F1630">
        <v>48.3108</v>
      </c>
      <c r="G1630">
        <f t="shared" si="100"/>
        <v>12.389382016827916</v>
      </c>
      <c r="H1630">
        <f t="shared" si="101"/>
        <v>9.589709853095794</v>
      </c>
      <c r="I1630">
        <f t="shared" si="102"/>
        <v>6.6875888577985156</v>
      </c>
    </row>
    <row r="1631" spans="1:9" x14ac:dyDescent="0.25">
      <c r="A1631" t="s">
        <v>304</v>
      </c>
      <c r="B1631" t="str">
        <f t="shared" si="99"/>
        <v>SR101+0.75100</v>
      </c>
      <c r="C1631">
        <v>0.75</v>
      </c>
      <c r="D1631">
        <v>100</v>
      </c>
      <c r="E1631">
        <v>0.87215887506050183</v>
      </c>
      <c r="F1631">
        <v>50.292000000000002</v>
      </c>
      <c r="G1631">
        <f t="shared" si="100"/>
        <v>12.928766290418693</v>
      </c>
      <c r="H1631">
        <f t="shared" si="101"/>
        <v>10.094431424311363</v>
      </c>
      <c r="I1631">
        <f t="shared" si="102"/>
        <v>6.7458785739428606</v>
      </c>
    </row>
    <row r="1632" spans="1:9" x14ac:dyDescent="0.25">
      <c r="A1632" t="s">
        <v>304</v>
      </c>
      <c r="B1632" t="str">
        <f t="shared" si="99"/>
        <v>SR101+0.75110</v>
      </c>
      <c r="C1632">
        <v>0.75</v>
      </c>
      <c r="D1632">
        <v>110</v>
      </c>
      <c r="E1632">
        <v>0.91576681881352695</v>
      </c>
      <c r="F1632">
        <v>51.968400000000003</v>
      </c>
      <c r="G1632">
        <f t="shared" si="100"/>
        <v>13.387094667224929</v>
      </c>
      <c r="H1632">
        <f t="shared" si="101"/>
        <v>10.599152995526932</v>
      </c>
      <c r="I1632">
        <f t="shared" si="102"/>
        <v>6.8406688798246948</v>
      </c>
    </row>
    <row r="1633" spans="1:9" x14ac:dyDescent="0.25">
      <c r="A1633" t="s">
        <v>304</v>
      </c>
      <c r="B1633" t="str">
        <f t="shared" si="99"/>
        <v>SR101+0.7930</v>
      </c>
      <c r="C1633">
        <v>0.79</v>
      </c>
      <c r="D1633">
        <v>30</v>
      </c>
      <c r="E1633">
        <v>0.52874631800542926</v>
      </c>
      <c r="F1633">
        <v>35.3568</v>
      </c>
      <c r="G1633">
        <f t="shared" si="100"/>
        <v>8.9234192650364648</v>
      </c>
      <c r="H1633">
        <f t="shared" si="101"/>
        <v>6.119749050988764</v>
      </c>
      <c r="I1633">
        <f t="shared" si="102"/>
        <v>5.9253779554789148</v>
      </c>
    </row>
    <row r="1634" spans="1:9" x14ac:dyDescent="0.25">
      <c r="A1634" t="s">
        <v>304</v>
      </c>
      <c r="B1634" t="str">
        <f t="shared" si="99"/>
        <v>SR101+0.7940</v>
      </c>
      <c r="C1634">
        <v>0.79</v>
      </c>
      <c r="D1634">
        <v>40</v>
      </c>
      <c r="E1634">
        <v>0.6105112125423513</v>
      </c>
      <c r="F1634">
        <v>38.1</v>
      </c>
      <c r="G1634">
        <f t="shared" si="100"/>
        <v>9.6485881630037866</v>
      </c>
      <c r="H1634">
        <f t="shared" si="101"/>
        <v>7.0661019970179542</v>
      </c>
      <c r="I1634">
        <f t="shared" si="102"/>
        <v>6.3274667985444175</v>
      </c>
    </row>
    <row r="1635" spans="1:9" x14ac:dyDescent="0.25">
      <c r="A1635" t="s">
        <v>304</v>
      </c>
      <c r="B1635" t="str">
        <f t="shared" si="99"/>
        <v>SR101+0.7950</v>
      </c>
      <c r="C1635">
        <v>0.79</v>
      </c>
      <c r="D1635">
        <v>50</v>
      </c>
      <c r="E1635">
        <v>0.68137412114101703</v>
      </c>
      <c r="F1635">
        <v>40.690800000000003</v>
      </c>
      <c r="G1635">
        <f t="shared" si="100"/>
        <v>10.337811369653814</v>
      </c>
      <c r="H1635">
        <f t="shared" si="101"/>
        <v>7.8862745502432521</v>
      </c>
      <c r="I1635">
        <f t="shared" si="102"/>
        <v>6.5910868052899527</v>
      </c>
    </row>
    <row r="1636" spans="1:9" x14ac:dyDescent="0.25">
      <c r="A1636" t="s">
        <v>304</v>
      </c>
      <c r="B1636" t="str">
        <f t="shared" si="99"/>
        <v>SR101+0.7960</v>
      </c>
      <c r="C1636">
        <v>0.79</v>
      </c>
      <c r="D1636">
        <v>60</v>
      </c>
      <c r="E1636">
        <v>0.75223702973968276</v>
      </c>
      <c r="F1636">
        <v>42.976800000000004</v>
      </c>
      <c r="G1636">
        <f t="shared" si="100"/>
        <v>10.94945185526408</v>
      </c>
      <c r="H1636">
        <f t="shared" si="101"/>
        <v>8.70644710346855</v>
      </c>
      <c r="I1636">
        <f t="shared" si="102"/>
        <v>6.8700884727671161</v>
      </c>
    </row>
    <row r="1637" spans="1:9" x14ac:dyDescent="0.25">
      <c r="A1637" t="s">
        <v>304</v>
      </c>
      <c r="B1637" t="str">
        <f t="shared" si="99"/>
        <v>SR101+0.7970</v>
      </c>
      <c r="C1637">
        <v>0.79</v>
      </c>
      <c r="D1637">
        <v>70</v>
      </c>
      <c r="E1637">
        <v>0.81219795240009229</v>
      </c>
      <c r="F1637">
        <v>45.262800000000006</v>
      </c>
      <c r="G1637">
        <f t="shared" si="100"/>
        <v>11.564375805338891</v>
      </c>
      <c r="H1637">
        <f t="shared" si="101"/>
        <v>9.4004392638899574</v>
      </c>
      <c r="I1637">
        <f t="shared" si="102"/>
        <v>7.0232753247704673</v>
      </c>
    </row>
    <row r="1638" spans="1:9" x14ac:dyDescent="0.25">
      <c r="A1638" t="s">
        <v>304</v>
      </c>
      <c r="B1638" t="str">
        <f t="shared" ref="B1638:B1677" si="103">A1638&amp;C1638&amp;D1638</f>
        <v>SR101+0.7980</v>
      </c>
      <c r="C1638">
        <v>0.79</v>
      </c>
      <c r="D1638">
        <v>80</v>
      </c>
      <c r="E1638">
        <v>0.86670788209137373</v>
      </c>
      <c r="F1638">
        <v>47.5488</v>
      </c>
      <c r="G1638">
        <f t="shared" si="100"/>
        <v>12.182583219878246</v>
      </c>
      <c r="H1638">
        <f t="shared" si="101"/>
        <v>10.031341227909417</v>
      </c>
      <c r="I1638">
        <f t="shared" si="102"/>
        <v>7.1143194054046912</v>
      </c>
    </row>
    <row r="1639" spans="1:9" x14ac:dyDescent="0.25">
      <c r="A1639" t="s">
        <v>304</v>
      </c>
      <c r="B1639" t="str">
        <f t="shared" si="103"/>
        <v>SR101+0.7990</v>
      </c>
      <c r="C1639">
        <v>0.79</v>
      </c>
      <c r="D1639">
        <v>90</v>
      </c>
      <c r="E1639">
        <v>0.92121781178265505</v>
      </c>
      <c r="F1639">
        <v>49.682400000000001</v>
      </c>
      <c r="G1639">
        <f t="shared" si="100"/>
        <v>12.762539221387449</v>
      </c>
      <c r="H1639">
        <f t="shared" si="101"/>
        <v>10.662243191928876</v>
      </c>
      <c r="I1639">
        <f t="shared" si="102"/>
        <v>7.2181389283323751</v>
      </c>
    </row>
    <row r="1640" spans="1:9" x14ac:dyDescent="0.25">
      <c r="A1640" t="s">
        <v>304</v>
      </c>
      <c r="B1640" t="str">
        <f t="shared" si="103"/>
        <v>SR101+0.79100</v>
      </c>
      <c r="C1640">
        <v>0.79</v>
      </c>
      <c r="D1640">
        <v>100</v>
      </c>
      <c r="E1640">
        <v>0.97027674850480827</v>
      </c>
      <c r="F1640">
        <v>51.663600000000002</v>
      </c>
      <c r="G1640">
        <f t="shared" si="100"/>
        <v>13.303630896499747</v>
      </c>
      <c r="H1640">
        <f t="shared" si="101"/>
        <v>11.230054959546392</v>
      </c>
      <c r="I1640">
        <f t="shared" si="102"/>
        <v>7.293322823321061</v>
      </c>
    </row>
    <row r="1641" spans="1:9" x14ac:dyDescent="0.25">
      <c r="A1641" t="s">
        <v>304</v>
      </c>
      <c r="B1641" t="str">
        <f t="shared" si="103"/>
        <v>SR101+0.79110</v>
      </c>
      <c r="C1641">
        <v>0.79</v>
      </c>
      <c r="D1641">
        <v>110</v>
      </c>
      <c r="E1641">
        <v>1.0138846922578333</v>
      </c>
      <c r="F1641">
        <v>53.492400000000004</v>
      </c>
      <c r="G1641">
        <f t="shared" si="100"/>
        <v>13.805289111374691</v>
      </c>
      <c r="H1641">
        <f t="shared" si="101"/>
        <v>11.734776530761959</v>
      </c>
      <c r="I1641">
        <f t="shared" si="102"/>
        <v>7.3441757291591667</v>
      </c>
    </row>
    <row r="1642" spans="1:9" x14ac:dyDescent="0.25">
      <c r="A1642" t="s">
        <v>304</v>
      </c>
      <c r="B1642" t="str">
        <f t="shared" si="103"/>
        <v>SR101+0.8330</v>
      </c>
      <c r="C1642">
        <v>0.83</v>
      </c>
      <c r="D1642">
        <v>30</v>
      </c>
      <c r="E1642">
        <v>0.58325624769671058</v>
      </c>
      <c r="F1642">
        <v>36.576000000000001</v>
      </c>
      <c r="G1642">
        <f t="shared" si="100"/>
        <v>9.2451328260060279</v>
      </c>
      <c r="H1642">
        <f t="shared" si="101"/>
        <v>6.7506510150082244</v>
      </c>
      <c r="I1642">
        <f t="shared" si="102"/>
        <v>6.3087925146520796</v>
      </c>
    </row>
    <row r="1643" spans="1:9" x14ac:dyDescent="0.25">
      <c r="A1643" t="s">
        <v>304</v>
      </c>
      <c r="B1643" t="str">
        <f t="shared" si="103"/>
        <v>SR101+0.8340</v>
      </c>
      <c r="C1643">
        <v>0.83</v>
      </c>
      <c r="D1643">
        <v>40</v>
      </c>
      <c r="E1643">
        <v>0.67592312817188882</v>
      </c>
      <c r="F1643">
        <v>39.319200000000002</v>
      </c>
      <c r="G1643">
        <f t="shared" si="100"/>
        <v>9.9724031412306431</v>
      </c>
      <c r="H1643">
        <f t="shared" si="101"/>
        <v>7.8231843538413051</v>
      </c>
      <c r="I1643">
        <f t="shared" si="102"/>
        <v>6.7779362566812216</v>
      </c>
    </row>
    <row r="1644" spans="1:9" x14ac:dyDescent="0.25">
      <c r="A1644" t="s">
        <v>304</v>
      </c>
      <c r="B1644" t="str">
        <f t="shared" si="103"/>
        <v>SR101+0.8350</v>
      </c>
      <c r="C1644">
        <v>0.83</v>
      </c>
      <c r="D1644">
        <v>50</v>
      </c>
      <c r="E1644">
        <v>0.75223702973968276</v>
      </c>
      <c r="F1644">
        <v>41.910000000000004</v>
      </c>
      <c r="G1644">
        <f t="shared" si="100"/>
        <v>10.663611019734802</v>
      </c>
      <c r="H1644">
        <f t="shared" si="101"/>
        <v>8.70644710346855</v>
      </c>
      <c r="I1644">
        <f t="shared" si="102"/>
        <v>7.0542429609214166</v>
      </c>
    </row>
    <row r="1645" spans="1:9" x14ac:dyDescent="0.25">
      <c r="A1645" t="s">
        <v>304</v>
      </c>
      <c r="B1645" t="str">
        <f t="shared" si="103"/>
        <v>SR101+0.8360</v>
      </c>
      <c r="C1645">
        <v>0.83</v>
      </c>
      <c r="D1645">
        <v>60</v>
      </c>
      <c r="E1645">
        <v>0.8285509313074767</v>
      </c>
      <c r="F1645">
        <v>44.196000000000005</v>
      </c>
      <c r="G1645">
        <f t="shared" si="100"/>
        <v>11.277002686392827</v>
      </c>
      <c r="H1645">
        <f t="shared" si="101"/>
        <v>9.589709853095794</v>
      </c>
      <c r="I1645">
        <f t="shared" si="102"/>
        <v>7.3472619839598989</v>
      </c>
    </row>
    <row r="1646" spans="1:9" x14ac:dyDescent="0.25">
      <c r="A1646" t="s">
        <v>304</v>
      </c>
      <c r="B1646" t="str">
        <f t="shared" si="103"/>
        <v>SR101+0.8370</v>
      </c>
      <c r="C1646">
        <v>0.83</v>
      </c>
      <c r="D1646">
        <v>70</v>
      </c>
      <c r="E1646">
        <v>0.89396284693701444</v>
      </c>
      <c r="F1646">
        <v>46.634399999999999</v>
      </c>
      <c r="G1646">
        <f t="shared" si="100"/>
        <v>11.934906238326754</v>
      </c>
      <c r="H1646">
        <f t="shared" si="101"/>
        <v>10.346792209919148</v>
      </c>
      <c r="I1646">
        <f t="shared" si="102"/>
        <v>7.4903214913093947</v>
      </c>
    </row>
    <row r="1647" spans="1:9" x14ac:dyDescent="0.25">
      <c r="A1647" t="s">
        <v>304</v>
      </c>
      <c r="B1647" t="str">
        <f t="shared" si="103"/>
        <v>SR101+0.8380</v>
      </c>
      <c r="C1647">
        <v>0.83</v>
      </c>
      <c r="D1647">
        <v>80</v>
      </c>
      <c r="E1647">
        <v>0.95392376959742375</v>
      </c>
      <c r="F1647">
        <v>48.920400000000001</v>
      </c>
      <c r="G1647">
        <f t="shared" si="100"/>
        <v>12.55508373154484</v>
      </c>
      <c r="H1647">
        <f t="shared" si="101"/>
        <v>11.040784370340551</v>
      </c>
      <c r="I1647">
        <f t="shared" si="102"/>
        <v>7.5979084647653572</v>
      </c>
    </row>
    <row r="1648" spans="1:9" x14ac:dyDescent="0.25">
      <c r="A1648" t="s">
        <v>304</v>
      </c>
      <c r="B1648" t="str">
        <f t="shared" si="103"/>
        <v>SR101+0.8390</v>
      </c>
      <c r="C1648">
        <v>0.83</v>
      </c>
      <c r="D1648">
        <v>90</v>
      </c>
      <c r="E1648">
        <v>1.0138846922578333</v>
      </c>
      <c r="F1648">
        <v>51.054000000000002</v>
      </c>
      <c r="G1648">
        <f t="shared" si="100"/>
        <v>13.136878473154184</v>
      </c>
      <c r="H1648">
        <f t="shared" si="101"/>
        <v>11.734776530761959</v>
      </c>
      <c r="I1648">
        <f t="shared" si="102"/>
        <v>7.7178508907557717</v>
      </c>
    </row>
    <row r="1649" spans="1:9" x14ac:dyDescent="0.25">
      <c r="A1649" t="s">
        <v>304</v>
      </c>
      <c r="B1649" t="str">
        <f t="shared" si="103"/>
        <v>SR101+0.83100</v>
      </c>
      <c r="C1649">
        <v>0.83</v>
      </c>
      <c r="D1649">
        <v>100</v>
      </c>
      <c r="E1649">
        <v>1.0683946219491147</v>
      </c>
      <c r="F1649">
        <v>53.035200000000003</v>
      </c>
      <c r="G1649">
        <f t="shared" si="100"/>
        <v>13.679677549788082</v>
      </c>
      <c r="H1649">
        <f t="shared" si="101"/>
        <v>12.36567849478142</v>
      </c>
      <c r="I1649">
        <f t="shared" si="102"/>
        <v>7.8100862981647232</v>
      </c>
    </row>
    <row r="1650" spans="1:9" x14ac:dyDescent="0.25">
      <c r="A1650" t="s">
        <v>304</v>
      </c>
      <c r="B1650" t="str">
        <f t="shared" si="103"/>
        <v>SR101+0.83110</v>
      </c>
      <c r="C1650">
        <v>0.83</v>
      </c>
      <c r="D1650">
        <v>110</v>
      </c>
      <c r="E1650">
        <v>1.1174535586712679</v>
      </c>
      <c r="F1650">
        <v>54.864000000000004</v>
      </c>
      <c r="G1650">
        <f t="shared" si="100"/>
        <v>14.182911827605992</v>
      </c>
      <c r="H1650">
        <f t="shared" si="101"/>
        <v>12.933490262398934</v>
      </c>
      <c r="I1650">
        <f t="shared" si="102"/>
        <v>7.8788726338707624</v>
      </c>
    </row>
    <row r="1651" spans="1:9" x14ac:dyDescent="0.25">
      <c r="A1651" t="s">
        <v>304</v>
      </c>
      <c r="B1651" t="str">
        <f t="shared" si="103"/>
        <v>SR101+0.8730</v>
      </c>
      <c r="C1651">
        <v>0.87</v>
      </c>
      <c r="D1651">
        <v>30</v>
      </c>
      <c r="E1651">
        <v>0.64321717035712012</v>
      </c>
      <c r="F1651">
        <v>37.642800000000001</v>
      </c>
      <c r="G1651">
        <f t="shared" si="100"/>
        <v>9.5273983335627648</v>
      </c>
      <c r="H1651">
        <f t="shared" si="101"/>
        <v>7.4446431754296309</v>
      </c>
      <c r="I1651">
        <f t="shared" si="102"/>
        <v>6.7512362539857138</v>
      </c>
    </row>
    <row r="1652" spans="1:9" x14ac:dyDescent="0.25">
      <c r="A1652" t="s">
        <v>304</v>
      </c>
      <c r="B1652" t="str">
        <f t="shared" si="103"/>
        <v>SR101+0.8740</v>
      </c>
      <c r="C1652">
        <v>0.87</v>
      </c>
      <c r="D1652">
        <v>40</v>
      </c>
      <c r="E1652">
        <v>0.74133504380142656</v>
      </c>
      <c r="F1652">
        <v>40.386000000000003</v>
      </c>
      <c r="G1652">
        <f t="shared" si="100"/>
        <v>10.256507388887542</v>
      </c>
      <c r="H1652">
        <f t="shared" si="101"/>
        <v>8.5802667106646595</v>
      </c>
      <c r="I1652">
        <f t="shared" si="102"/>
        <v>7.2279482253835194</v>
      </c>
    </row>
    <row r="1653" spans="1:9" x14ac:dyDescent="0.25">
      <c r="A1653" t="s">
        <v>304</v>
      </c>
      <c r="B1653" t="str">
        <f t="shared" si="103"/>
        <v>SR101+0.8750</v>
      </c>
      <c r="C1653">
        <v>0.87</v>
      </c>
      <c r="D1653">
        <v>50</v>
      </c>
      <c r="E1653">
        <v>0.8285509313074767</v>
      </c>
      <c r="F1653">
        <v>43.129200000000004</v>
      </c>
      <c r="G1653">
        <f t="shared" si="100"/>
        <v>10.990344633041275</v>
      </c>
      <c r="H1653">
        <f t="shared" si="101"/>
        <v>9.589709853095794</v>
      </c>
      <c r="I1653">
        <f t="shared" si="102"/>
        <v>7.5388985420578036</v>
      </c>
    </row>
    <row r="1654" spans="1:9" x14ac:dyDescent="0.25">
      <c r="A1654" t="s">
        <v>304</v>
      </c>
      <c r="B1654" t="str">
        <f t="shared" si="103"/>
        <v>SR101+0.8760</v>
      </c>
      <c r="C1654">
        <v>0.87</v>
      </c>
      <c r="D1654">
        <v>60</v>
      </c>
      <c r="E1654">
        <v>0.91031582584439885</v>
      </c>
      <c r="F1654">
        <v>45.415200000000006</v>
      </c>
      <c r="G1654">
        <f t="shared" si="100"/>
        <v>11.605487480747058</v>
      </c>
      <c r="H1654">
        <f t="shared" si="101"/>
        <v>10.536062799124986</v>
      </c>
      <c r="I1654">
        <f t="shared" si="102"/>
        <v>7.8438396263368402</v>
      </c>
    </row>
    <row r="1655" spans="1:9" x14ac:dyDescent="0.25">
      <c r="A1655" t="s">
        <v>304</v>
      </c>
      <c r="B1655" t="str">
        <f t="shared" si="103"/>
        <v>SR101+0.8770</v>
      </c>
      <c r="C1655">
        <v>0.87</v>
      </c>
      <c r="D1655">
        <v>70</v>
      </c>
      <c r="E1655">
        <v>0.98117873444306447</v>
      </c>
      <c r="F1655">
        <v>47.8536</v>
      </c>
      <c r="G1655">
        <f t="shared" si="100"/>
        <v>12.265258959131927</v>
      </c>
      <c r="H1655">
        <f t="shared" si="101"/>
        <v>11.356235352350282</v>
      </c>
      <c r="I1655">
        <f t="shared" si="102"/>
        <v>7.9996577138107758</v>
      </c>
    </row>
    <row r="1656" spans="1:9" x14ac:dyDescent="0.25">
      <c r="A1656" t="s">
        <v>304</v>
      </c>
      <c r="B1656" t="str">
        <f t="shared" si="103"/>
        <v>SR101+0.8780</v>
      </c>
      <c r="C1656">
        <v>0.87</v>
      </c>
      <c r="D1656">
        <v>80</v>
      </c>
      <c r="E1656">
        <v>1.0465906500726021</v>
      </c>
      <c r="F1656">
        <v>50.139600000000002</v>
      </c>
      <c r="G1656">
        <f t="shared" si="100"/>
        <v>12.887187633397765</v>
      </c>
      <c r="H1656">
        <f t="shared" si="101"/>
        <v>12.113317709173634</v>
      </c>
      <c r="I1656">
        <f t="shared" si="102"/>
        <v>8.1211718168851075</v>
      </c>
    </row>
    <row r="1657" spans="1:9" x14ac:dyDescent="0.25">
      <c r="A1657" t="s">
        <v>304</v>
      </c>
      <c r="B1657" t="str">
        <f t="shared" si="103"/>
        <v>SR101+0.8790</v>
      </c>
      <c r="C1657">
        <v>0.87</v>
      </c>
      <c r="D1657">
        <v>90</v>
      </c>
      <c r="E1657">
        <v>1.1120025657021397</v>
      </c>
      <c r="F1657">
        <v>52.273200000000003</v>
      </c>
      <c r="G1657">
        <f t="shared" si="100"/>
        <v>13.470616810651691</v>
      </c>
      <c r="H1657">
        <f t="shared" si="101"/>
        <v>12.870400065996987</v>
      </c>
      <c r="I1657">
        <f t="shared" si="102"/>
        <v>8.2550233692553725</v>
      </c>
    </row>
    <row r="1658" spans="1:9" x14ac:dyDescent="0.25">
      <c r="A1658" t="s">
        <v>304</v>
      </c>
      <c r="B1658" t="str">
        <f t="shared" si="103"/>
        <v>SR101+0.87100</v>
      </c>
      <c r="C1658">
        <v>0.87</v>
      </c>
      <c r="D1658">
        <v>100</v>
      </c>
      <c r="E1658">
        <v>1.1719634883625494</v>
      </c>
      <c r="F1658">
        <v>54.406800000000004</v>
      </c>
      <c r="G1658">
        <f t="shared" si="100"/>
        <v>14.056906250283632</v>
      </c>
      <c r="H1658">
        <f t="shared" si="101"/>
        <v>13.564392226418395</v>
      </c>
      <c r="I1658">
        <f t="shared" si="102"/>
        <v>8.3372789680439254</v>
      </c>
    </row>
    <row r="1659" spans="1:9" x14ac:dyDescent="0.25">
      <c r="A1659" t="s">
        <v>304</v>
      </c>
      <c r="B1659" t="str">
        <f t="shared" si="103"/>
        <v>SR101+0.87110</v>
      </c>
      <c r="C1659">
        <v>0.87</v>
      </c>
      <c r="D1659">
        <v>110</v>
      </c>
      <c r="E1659">
        <v>1.2264734180538308</v>
      </c>
      <c r="F1659">
        <v>56.235600000000005</v>
      </c>
      <c r="G1659">
        <f t="shared" si="100"/>
        <v>14.561716591044522</v>
      </c>
      <c r="H1659">
        <f t="shared" si="101"/>
        <v>14.195294190437856</v>
      </c>
      <c r="I1659">
        <f t="shared" si="102"/>
        <v>8.4225881638715165</v>
      </c>
    </row>
    <row r="1660" spans="1:9" x14ac:dyDescent="0.25">
      <c r="A1660" t="s">
        <v>304</v>
      </c>
      <c r="B1660" t="str">
        <f t="shared" si="103"/>
        <v>SR101+0.9130</v>
      </c>
      <c r="C1660">
        <v>0.91</v>
      </c>
      <c r="D1660">
        <v>30</v>
      </c>
      <c r="E1660">
        <v>0.70317809301752954</v>
      </c>
      <c r="F1660">
        <v>38.709600000000002</v>
      </c>
      <c r="G1660">
        <f t="shared" si="100"/>
        <v>9.8103789067140283</v>
      </c>
      <c r="H1660">
        <f t="shared" si="101"/>
        <v>8.1386353358510366</v>
      </c>
      <c r="I1660">
        <f t="shared" si="102"/>
        <v>7.1676955569604806</v>
      </c>
    </row>
    <row r="1661" spans="1:9" x14ac:dyDescent="0.25">
      <c r="A1661" t="s">
        <v>304</v>
      </c>
      <c r="B1661" t="str">
        <f t="shared" si="103"/>
        <v>SR101+0.9140</v>
      </c>
      <c r="C1661">
        <v>0.91</v>
      </c>
      <c r="D1661">
        <v>40</v>
      </c>
      <c r="E1661">
        <v>0.81219795240009229</v>
      </c>
      <c r="F1661">
        <v>41.452800000000003</v>
      </c>
      <c r="G1661">
        <f t="shared" si="100"/>
        <v>10.541326702138953</v>
      </c>
      <c r="H1661">
        <f t="shared" si="101"/>
        <v>9.4004392638899574</v>
      </c>
      <c r="I1661">
        <f t="shared" si="102"/>
        <v>7.7048930874639172</v>
      </c>
    </row>
    <row r="1662" spans="1:9" x14ac:dyDescent="0.25">
      <c r="A1662" t="s">
        <v>304</v>
      </c>
      <c r="B1662" t="str">
        <f t="shared" si="103"/>
        <v>SR101+0.9150</v>
      </c>
      <c r="C1662">
        <v>0.91</v>
      </c>
      <c r="D1662">
        <v>50</v>
      </c>
      <c r="E1662">
        <v>0.90486483287527064</v>
      </c>
      <c r="F1662">
        <v>44.500800000000005</v>
      </c>
      <c r="G1662">
        <f t="shared" si="100"/>
        <v>11.359036325928997</v>
      </c>
      <c r="H1662">
        <f t="shared" si="101"/>
        <v>10.47297260272304</v>
      </c>
      <c r="I1662">
        <f t="shared" si="102"/>
        <v>7.966035206787371</v>
      </c>
    </row>
    <row r="1663" spans="1:9" x14ac:dyDescent="0.25">
      <c r="A1663" t="s">
        <v>304</v>
      </c>
      <c r="B1663" t="str">
        <f t="shared" si="103"/>
        <v>SR101+0.9160</v>
      </c>
      <c r="C1663">
        <v>0.91</v>
      </c>
      <c r="D1663">
        <v>60</v>
      </c>
      <c r="E1663">
        <v>0.99208072038132078</v>
      </c>
      <c r="F1663">
        <v>46.786799999999999</v>
      </c>
      <c r="G1663">
        <f t="shared" si="100"/>
        <v>11.976149252313498</v>
      </c>
      <c r="H1663">
        <f t="shared" si="101"/>
        <v>11.482415745154174</v>
      </c>
      <c r="I1663">
        <f t="shared" si="102"/>
        <v>8.2838039129286507</v>
      </c>
    </row>
    <row r="1664" spans="1:9" x14ac:dyDescent="0.25">
      <c r="A1664" t="s">
        <v>304</v>
      </c>
      <c r="B1664" t="str">
        <f t="shared" si="103"/>
        <v>SR101+0.9170</v>
      </c>
      <c r="C1664">
        <v>0.91</v>
      </c>
      <c r="D1664">
        <v>70</v>
      </c>
      <c r="E1664">
        <v>1.0683946219491147</v>
      </c>
      <c r="F1664">
        <v>48.615600000000001</v>
      </c>
      <c r="G1664">
        <f t="shared" si="100"/>
        <v>12.472203687835574</v>
      </c>
      <c r="H1664">
        <f t="shared" si="101"/>
        <v>12.36567849478142</v>
      </c>
      <c r="I1664">
        <f t="shared" si="102"/>
        <v>8.5662056897863561</v>
      </c>
    </row>
    <row r="1665" spans="1:9" x14ac:dyDescent="0.25">
      <c r="A1665" t="s">
        <v>304</v>
      </c>
      <c r="B1665" t="str">
        <f t="shared" si="103"/>
        <v>SR101+0.9180</v>
      </c>
      <c r="C1665">
        <v>0.91</v>
      </c>
      <c r="D1665">
        <v>80</v>
      </c>
      <c r="E1665">
        <v>1.1447085235169085</v>
      </c>
      <c r="F1665">
        <v>51.358800000000002</v>
      </c>
      <c r="G1665">
        <f t="shared" si="100"/>
        <v>13.220225498476168</v>
      </c>
      <c r="H1665">
        <f t="shared" si="101"/>
        <v>13.248941244408662</v>
      </c>
      <c r="I1665">
        <f t="shared" si="102"/>
        <v>8.6587670055163102</v>
      </c>
    </row>
    <row r="1666" spans="1:9" x14ac:dyDescent="0.25">
      <c r="A1666" t="s">
        <v>304</v>
      </c>
      <c r="B1666" t="str">
        <f t="shared" si="103"/>
        <v>SR101+0.9190</v>
      </c>
      <c r="C1666">
        <v>0.91</v>
      </c>
      <c r="D1666">
        <v>90</v>
      </c>
      <c r="E1666">
        <v>1.2155714321155744</v>
      </c>
      <c r="F1666">
        <v>53.492400000000004</v>
      </c>
      <c r="G1666">
        <f t="shared" si="100"/>
        <v>13.805289111374691</v>
      </c>
      <c r="H1666">
        <f t="shared" si="101"/>
        <v>14.069113797633962</v>
      </c>
      <c r="I1666">
        <f t="shared" si="102"/>
        <v>8.8051139118413673</v>
      </c>
    </row>
    <row r="1667" spans="1:9" x14ac:dyDescent="0.25">
      <c r="A1667" t="s">
        <v>304</v>
      </c>
      <c r="B1667" t="str">
        <f t="shared" si="103"/>
        <v>SR101+0.91100</v>
      </c>
      <c r="C1667">
        <v>0.91</v>
      </c>
      <c r="D1667">
        <v>100</v>
      </c>
      <c r="E1667">
        <v>1.280983347745112</v>
      </c>
      <c r="F1667">
        <v>55.778400000000005</v>
      </c>
      <c r="G1667">
        <f t="shared" ref="G1667:G1677" si="104">(PI()*(G$1+F1667)^2)/10000-((PI()*(G$1)^2)/10000)</f>
        <v>14.435316997986448</v>
      </c>
      <c r="H1667">
        <f t="shared" ref="H1667:H1677" si="105">E1667/0.0864</f>
        <v>14.826196154457314</v>
      </c>
      <c r="I1667">
        <f t="shared" ref="I1667:I1677" si="106">E1667/G1667*100</f>
        <v>8.8739537062039844</v>
      </c>
    </row>
    <row r="1668" spans="1:9" x14ac:dyDescent="0.25">
      <c r="A1668" t="s">
        <v>304</v>
      </c>
      <c r="B1668" t="str">
        <f t="shared" si="103"/>
        <v>SR101+0.91110</v>
      </c>
      <c r="C1668">
        <v>0.91</v>
      </c>
      <c r="D1668">
        <v>110</v>
      </c>
      <c r="E1668">
        <v>1.3409442704055214</v>
      </c>
      <c r="F1668">
        <v>57.759600000000006</v>
      </c>
      <c r="G1668">
        <f t="shared" si="104"/>
        <v>14.983997124305716</v>
      </c>
      <c r="H1668">
        <f t="shared" si="105"/>
        <v>15.52018831487872</v>
      </c>
      <c r="I1668">
        <f t="shared" si="106"/>
        <v>8.9491759727473532</v>
      </c>
    </row>
    <row r="1669" spans="1:9" x14ac:dyDescent="0.25">
      <c r="A1669" t="s">
        <v>304</v>
      </c>
      <c r="B1669" t="str">
        <f t="shared" si="103"/>
        <v>SR101+0.9430</v>
      </c>
      <c r="C1669">
        <v>0.94</v>
      </c>
      <c r="D1669">
        <v>30</v>
      </c>
      <c r="E1669">
        <v>0.76313901567793907</v>
      </c>
      <c r="F1669">
        <v>39.624000000000002</v>
      </c>
      <c r="G1669">
        <f t="shared" si="104"/>
        <v>10.053502817541336</v>
      </c>
      <c r="H1669">
        <f t="shared" si="105"/>
        <v>8.8326274962724423</v>
      </c>
      <c r="I1669">
        <f t="shared" si="106"/>
        <v>7.5907773591749068</v>
      </c>
    </row>
    <row r="1670" spans="1:9" x14ac:dyDescent="0.25">
      <c r="A1670" t="s">
        <v>304</v>
      </c>
      <c r="B1670" t="str">
        <f t="shared" si="103"/>
        <v>SR101+0.9440</v>
      </c>
      <c r="C1670">
        <v>0.94</v>
      </c>
      <c r="D1670">
        <v>40</v>
      </c>
      <c r="E1670">
        <v>0.88306086099875813</v>
      </c>
      <c r="F1670">
        <v>42.519600000000004</v>
      </c>
      <c r="G1670">
        <f t="shared" si="104"/>
        <v>10.826861080984862</v>
      </c>
      <c r="H1670">
        <f t="shared" si="105"/>
        <v>10.220611817115255</v>
      </c>
      <c r="I1670">
        <f t="shared" si="106"/>
        <v>8.1562038562559138</v>
      </c>
    </row>
    <row r="1671" spans="1:9" x14ac:dyDescent="0.25">
      <c r="A1671" t="s">
        <v>304</v>
      </c>
      <c r="B1671" t="str">
        <f t="shared" si="103"/>
        <v>SR101+0.9450</v>
      </c>
      <c r="C1671">
        <v>0.94</v>
      </c>
      <c r="D1671">
        <v>50</v>
      </c>
      <c r="E1671">
        <v>0.98662972741219268</v>
      </c>
      <c r="F1671">
        <v>45.72</v>
      </c>
      <c r="G1671">
        <f t="shared" si="104"/>
        <v>11.687754611089588</v>
      </c>
      <c r="H1671">
        <f t="shared" si="105"/>
        <v>11.41932554875223</v>
      </c>
      <c r="I1671">
        <f t="shared" si="106"/>
        <v>8.4415677796320061</v>
      </c>
    </row>
    <row r="1672" spans="1:9" x14ac:dyDescent="0.25">
      <c r="A1672" t="s">
        <v>304</v>
      </c>
      <c r="B1672" t="str">
        <f t="shared" si="103"/>
        <v>SR101+0.9460</v>
      </c>
      <c r="C1672">
        <v>0.94</v>
      </c>
      <c r="D1672">
        <v>60</v>
      </c>
      <c r="E1672">
        <v>1.0792966078873709</v>
      </c>
      <c r="F1672">
        <v>48.006</v>
      </c>
      <c r="G1672">
        <f t="shared" si="104"/>
        <v>12.306618718521854</v>
      </c>
      <c r="H1672">
        <f t="shared" si="105"/>
        <v>12.491858887585311</v>
      </c>
      <c r="I1672">
        <f t="shared" si="106"/>
        <v>8.7700499428246292</v>
      </c>
    </row>
    <row r="1673" spans="1:9" x14ac:dyDescent="0.25">
      <c r="A1673" t="s">
        <v>304</v>
      </c>
      <c r="B1673" t="str">
        <f t="shared" si="103"/>
        <v>SR101+0.9470</v>
      </c>
      <c r="C1673">
        <v>0.94</v>
      </c>
      <c r="D1673">
        <v>70</v>
      </c>
      <c r="E1673">
        <v>1.1665124953934212</v>
      </c>
      <c r="F1673">
        <v>49.225200000000001</v>
      </c>
      <c r="G1673">
        <f t="shared" si="104"/>
        <v>12.638022147955681</v>
      </c>
      <c r="H1673">
        <f t="shared" si="105"/>
        <v>13.501302030016449</v>
      </c>
      <c r="I1673">
        <f t="shared" si="106"/>
        <v>9.2301823951314681</v>
      </c>
    </row>
    <row r="1674" spans="1:9" x14ac:dyDescent="0.25">
      <c r="A1674" t="s">
        <v>304</v>
      </c>
      <c r="B1674" t="str">
        <f t="shared" si="103"/>
        <v>SR101+0.9480</v>
      </c>
      <c r="C1674">
        <v>0.94</v>
      </c>
      <c r="D1674">
        <v>80</v>
      </c>
      <c r="E1674">
        <v>1.2482773899303432</v>
      </c>
      <c r="F1674">
        <v>52.425600000000003</v>
      </c>
      <c r="G1674">
        <f t="shared" si="104"/>
        <v>13.512399772128191</v>
      </c>
      <c r="H1674">
        <f t="shared" si="105"/>
        <v>14.447654976045639</v>
      </c>
      <c r="I1674">
        <f t="shared" si="106"/>
        <v>9.2380140536186985</v>
      </c>
    </row>
    <row r="1675" spans="1:9" x14ac:dyDescent="0.25">
      <c r="A1675" t="s">
        <v>304</v>
      </c>
      <c r="B1675" t="str">
        <f t="shared" si="103"/>
        <v>SR101+0.9490</v>
      </c>
      <c r="C1675">
        <v>0.94</v>
      </c>
      <c r="D1675">
        <v>90</v>
      </c>
      <c r="E1675">
        <v>1.3245912914981373</v>
      </c>
      <c r="F1675">
        <v>54.711600000000004</v>
      </c>
      <c r="G1675">
        <f t="shared" si="104"/>
        <v>14.140895375323126</v>
      </c>
      <c r="H1675">
        <f t="shared" si="105"/>
        <v>15.330917725672885</v>
      </c>
      <c r="I1675">
        <f t="shared" si="106"/>
        <v>9.3670963283530391</v>
      </c>
    </row>
    <row r="1676" spans="1:9" x14ac:dyDescent="0.25">
      <c r="A1676" t="s">
        <v>304</v>
      </c>
      <c r="B1676" t="str">
        <f t="shared" si="103"/>
        <v>SR101+0.94100</v>
      </c>
      <c r="C1676">
        <v>0.94</v>
      </c>
      <c r="D1676">
        <v>100</v>
      </c>
      <c r="E1676">
        <v>1.3954542000968029</v>
      </c>
      <c r="F1676">
        <v>56.997600000000006</v>
      </c>
      <c r="G1676">
        <f t="shared" si="104"/>
        <v>14.772674442982655</v>
      </c>
      <c r="H1676">
        <f t="shared" si="105"/>
        <v>16.151090278898181</v>
      </c>
      <c r="I1676">
        <f t="shared" si="106"/>
        <v>9.4461852894867935</v>
      </c>
    </row>
    <row r="1677" spans="1:9" x14ac:dyDescent="0.25">
      <c r="A1677" t="s">
        <v>304</v>
      </c>
      <c r="B1677" t="str">
        <f t="shared" si="103"/>
        <v>SR101+0.94110</v>
      </c>
      <c r="C1677">
        <v>0.94</v>
      </c>
      <c r="D1677">
        <v>110</v>
      </c>
      <c r="E1677">
        <v>1.4608661157263405</v>
      </c>
      <c r="F1677">
        <v>59.1312</v>
      </c>
      <c r="G1677">
        <f t="shared" si="104"/>
        <v>15.365297320737312</v>
      </c>
      <c r="H1677">
        <f t="shared" si="105"/>
        <v>16.908172635721535</v>
      </c>
      <c r="I1677">
        <f t="shared" si="106"/>
        <v>9.5075681598085726</v>
      </c>
    </row>
  </sheetData>
  <sheetProtection selectLockedCells="1"/>
  <phoneticPr fontId="11" type="noConversion"/>
  <pageMargins left="0.7" right="0.7" top="0.75" bottom="0.75" header="0.3" footer="0.3"/>
  <pageSetup paperSize="9" orientation="portrait" horizontalDpi="90" verticalDpi="90" r:id="rId1"/>
  <headerFooter>
    <oddHeader>&amp;C&amp;"Calibri"&amp;12&amp;K000000UNOFFICIAL&amp;1#</oddHeader>
    <oddFooter>&amp;C&amp;1#&amp;"Calibri"&amp;12&amp;K000000UNOFFICIAL</oddFooter>
  </headerFooter>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D a t a M a s h u p   x m l n s = " h t t p : / / s c h e m a s . m i c r o s o f t . c o m / D a t a M a s h u p " > A A A A A B Q D A A B Q S w M E F A A C A A g A f I M R U 8 p Z i D O k A A A A 9 Q A A A B I A H A B D b 2 5 m a W c v U G F j a 2 F n Z S 5 4 b W w g o h g A K K A U A A A A A A A A A A A A A A A A A A A A A A A A A A A A h Y / R C o I w G I V f R X b v N h e B y e 8 k u k 0 I o u h 2 z K U j n e F m 8 9 2 6 6 J F 6 h Y y y u u v y f O c c O O d + v U E 2 N H V w U Z 3 V r U l R h C k K l J F t o U 2 Z o t 4 d w x h l H D Z C n k S p g j F s b D J Y n a L K u X N C i P c e + x l u u 5 I w S i N y y N d b W a l G h N p Y J 4 x U 6 N M q / r c Q h / 1 r D G d 4 Q f E 8 Z p g C m R j k 2 n x 9 N s 5 9 u j 8 Q V n 3 t + k 5 x Z c L l D s g k g b w v 8 A d Q S w M E F A A C A A g A f I M R 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y D E V M o i k e 4 D g A A A B E A A A A T A B w A R m 9 y b X V s Y X M v U 2 V j d G l v b j E u b S C i G A A o o B Q A A A A A A A A A A A A A A A A A A A A A A A A A A A A r T k 0 u y c z P U w i G 0 I b W A F B L A Q I t A B Q A A g A I A H y D E V P K W Y g z p A A A A P U A A A A S A A A A A A A A A A A A A A A A A A A A A A B D b 2 5 m a W c v U G F j a 2 F n Z S 5 4 b W x Q S w E C L Q A U A A I A C A B 8 g x F T D 8 r p q 6 Q A A A D p A A A A E w A A A A A A A A A A A A A A A A D w A A A A W 0 N v b n R l b n R f V H l w Z X N d L n h t b F B L A Q I t A B Q A A g A I A H y D E V 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m Z O u / k 9 x d S K 1 b 4 5 a G P N t D A A A A A A I A A A A A A A N m A A D A A A A A E A A A A F U / x 2 c g k P U Z n J V q q t Q N 2 i 0 A A A A A B I A A A K A A A A A Q A A A A W Q S u c i 4 3 2 d 8 H M a 8 b G P J G 1 F A A A A C + + s x Z H p T s B g x 1 q t j n L V z U s v m 5 y r o I V 8 g q K F z R C h r H O y o u L Q Y 2 p / l o Q 3 h G q Y G d U D j m R / w C d J u L P f l D I 3 A + H 1 X k h / S M m 0 y M r 0 N V Y j o T / G / 5 D R Q A A A A j Z A p U B 8 4 Y v K y O + x A U q 3 C a L n v N J g = = < / D a t a M a s h u p > 
</file>

<file path=customXml/item2.xml><?xml version="1.0" encoding="utf-8"?>
<ct:contentTypeSchema xmlns:ct="http://schemas.microsoft.com/office/2006/metadata/contentType" xmlns:ma="http://schemas.microsoft.com/office/2006/metadata/properties/metaAttributes" ct:_="" ma:_="" ma:contentTypeName="DEDJTR Document" ma:contentTypeID="0x010100611F6414DFB111E7BA88F9DF1743E317007DD2F07D78D8274EB99EFCF32F05DC11" ma:contentTypeVersion="28" ma:contentTypeDescription="DEDJTR Document" ma:contentTypeScope="" ma:versionID="412dd361d2362e4050ba96b679b4839d">
  <xsd:schema xmlns:xsd="http://www.w3.org/2001/XMLSchema" xmlns:xs="http://www.w3.org/2001/XMLSchema" xmlns:p="http://schemas.microsoft.com/office/2006/metadata/properties" xmlns:ns2="1970f3ff-c7c3-4b73-8f0c-0bc260d159f3" xmlns:ns3="00859dcf-0dab-4099-a5d8-10172deb17e4" xmlns:ns4="dd2f24b0-6a96-4e49-96e5-f74f55a217b4" xmlns:ns5="5561a58a-835c-4bfd-ad4e-939529893ef0" targetNamespace="http://schemas.microsoft.com/office/2006/metadata/properties" ma:root="true" ma:fieldsID="b6aa8bcfe6f6d474d32715a3919cfa0b" ns2:_="" ns3:_="" ns4:_="" ns5:_="">
    <xsd:import namespace="1970f3ff-c7c3-4b73-8f0c-0bc260d159f3"/>
    <xsd:import namespace="00859dcf-0dab-4099-a5d8-10172deb17e4"/>
    <xsd:import namespace="dd2f24b0-6a96-4e49-96e5-f74f55a217b4"/>
    <xsd:import namespace="5561a58a-835c-4bfd-ad4e-939529893ef0"/>
    <xsd:element name="properties">
      <xsd:complexType>
        <xsd:sequence>
          <xsd:element name="documentManagement">
            <xsd:complexType>
              <xsd:all>
                <xsd:element ref="ns2:g46a9f61d38540a784cfecbd3da27bca" minOccurs="0"/>
                <xsd:element ref="ns3:TaxCatchAll" minOccurs="0"/>
                <xsd:element ref="ns3:TaxCatchAllLabel" minOccurs="0"/>
                <xsd:element ref="ns2:b4605c5f9d584382a57fb8476d85f713" minOccurs="0"/>
                <xsd:element ref="ns2:p31afe295eb448f092f13ab8c2af2c33" minOccurs="0"/>
                <xsd:element ref="ns2:hcae176ec3a54dbeadeeec1b38baec58" minOccurs="0"/>
                <xsd:element ref="ns2:lf5681727d5b4cc1a5c417fcf66e2a7b" minOccurs="0"/>
                <xsd:element ref="ns4:MediaServiceMetadata" minOccurs="0"/>
                <xsd:element ref="ns4:MediaServiceFastMetadata" minOccurs="0"/>
                <xsd:element ref="ns5:MediaServiceDateTaken" minOccurs="0"/>
                <xsd:element ref="ns5:MediaServiceAutoTags" minOccurs="0"/>
                <xsd:element ref="ns5:MediaServiceGenerationTime" minOccurs="0"/>
                <xsd:element ref="ns5:MediaServiceEventHashCode" minOccurs="0"/>
                <xsd:element ref="ns5:MediaServiceOCR" minOccurs="0"/>
                <xsd:element ref="ns3:SharedWithUsers" minOccurs="0"/>
                <xsd:element ref="ns3:SharedWithDetails" minOccurs="0"/>
                <xsd:element ref="ns5:MediaServiceAutoKeyPoints" minOccurs="0"/>
                <xsd:element ref="ns5:MediaServiceKeyPoints" minOccurs="0"/>
                <xsd:element ref="ns5:MediaServiceLocation" minOccurs="0"/>
                <xsd:element ref="ns5:MediaLengthInSeconds" minOccurs="0"/>
                <xsd:element ref="ns5: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0f3ff-c7c3-4b73-8f0c-0bc260d159f3" elementFormDefault="qualified">
    <xsd:import namespace="http://schemas.microsoft.com/office/2006/documentManagement/types"/>
    <xsd:import namespace="http://schemas.microsoft.com/office/infopath/2007/PartnerControls"/>
    <xsd:element name="g46a9f61d38540a784cfecbd3da27bca" ma:index="8" nillable="true" ma:taxonomy="true" ma:internalName="g46a9f61d38540a784cfecbd3da27bca" ma:taxonomyFieldName="DEDJTRGroup" ma:displayName="Group" ma:indexed="true" ma:fieldId="{046a9f61-d385-40a7-84cf-ecbd3da27bca}" ma:sspId="9292314e-c97d-49c1-8ae7-4cb6e1c4f97c" ma:termSetId="da3e7bcb-eeaa-4707-acea-ba4da45cec05" ma:anchorId="00000000-0000-0000-0000-000000000000" ma:open="false" ma:isKeyword="false">
      <xsd:complexType>
        <xsd:sequence>
          <xsd:element ref="pc:Terms" minOccurs="0" maxOccurs="1"/>
        </xsd:sequence>
      </xsd:complexType>
    </xsd:element>
    <xsd:element name="b4605c5f9d584382a57fb8476d85f713" ma:index="12" nillable="true" ma:taxonomy="true" ma:internalName="b4605c5f9d584382a57fb8476d85f713" ma:taxonomyFieldName="DEDJTRDivision" ma:displayName="Division" ma:indexed="true" ma:fieldId="{b4605c5f-9d58-4382-a57f-b8476d85f713}" ma:sspId="9292314e-c97d-49c1-8ae7-4cb6e1c4f97c" ma:termSetId="da3e7bcb-eeaa-4707-acea-ba4da45cec05" ma:anchorId="00000000-0000-0000-0000-000000000000" ma:open="false" ma:isKeyword="false">
      <xsd:complexType>
        <xsd:sequence>
          <xsd:element ref="pc:Terms" minOccurs="0" maxOccurs="1"/>
        </xsd:sequence>
      </xsd:complexType>
    </xsd:element>
    <xsd:element name="p31afe295eb448f092f13ab8c2af2c33" ma:index="14" nillable="true" ma:taxonomy="true" ma:internalName="p31afe295eb448f092f13ab8c2af2c33" ma:taxonomyFieldName="DEDJTRBranch" ma:displayName="Branch" ma:indexed="true" ma:fieldId="{931afe29-5eb4-48f0-92f1-3ab8c2af2c33}" ma:sspId="9292314e-c97d-49c1-8ae7-4cb6e1c4f97c" ma:termSetId="da3e7bcb-eeaa-4707-acea-ba4da45cec05" ma:anchorId="00000000-0000-0000-0000-000000000000" ma:open="false" ma:isKeyword="false">
      <xsd:complexType>
        <xsd:sequence>
          <xsd:element ref="pc:Terms" minOccurs="0" maxOccurs="1"/>
        </xsd:sequence>
      </xsd:complexType>
    </xsd:element>
    <xsd:element name="hcae176ec3a54dbeadeeec1b38baec58" ma:index="16" nillable="true" ma:taxonomy="true" ma:internalName="hcae176ec3a54dbeadeeec1b38baec58" ma:taxonomyFieldName="DEDJTRSection" ma:displayName="Section" ma:indexed="true" ma:fieldId="{1cae176e-c3a5-4dbe-adee-ec1b38baec58}" ma:sspId="9292314e-c97d-49c1-8ae7-4cb6e1c4f97c" ma:termSetId="da3e7bcb-eeaa-4707-acea-ba4da45cec05" ma:anchorId="00000000-0000-0000-0000-000000000000" ma:open="false" ma:isKeyword="false">
      <xsd:complexType>
        <xsd:sequence>
          <xsd:element ref="pc:Terms" minOccurs="0" maxOccurs="1"/>
        </xsd:sequence>
      </xsd:complexType>
    </xsd:element>
    <xsd:element name="lf5681727d5b4cc1a5c417fcf66e2a7b" ma:index="18" nillable="true" ma:taxonomy="true" ma:internalName="lf5681727d5b4cc1a5c417fcf66e2a7b" ma:taxonomyFieldName="DEDJTRSecurityClassification" ma:displayName="Security Classification" ma:fieldId="{5f568172-7d5b-4cc1-a5c4-17fcf66e2a7b}" ma:sspId="9292314e-c97d-49c1-8ae7-4cb6e1c4f97c" ma:termSetId="e639de15-6b57-4d67-aed9-4113af6bf4b4"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0859dcf-0dab-4099-a5d8-10172deb17e4"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6e7cca4a-03a5-41c1-ad59-ec99be61f472}" ma:internalName="TaxCatchAll" ma:showField="CatchAllData" ma:web="00859dcf-0dab-4099-a5d8-10172deb17e4">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e7cca4a-03a5-41c1-ad59-ec99be61f472}" ma:internalName="TaxCatchAllLabel" ma:readOnly="true" ma:showField="CatchAllDataLabel" ma:web="00859dcf-0dab-4099-a5d8-10172deb17e4">
      <xsd:complexType>
        <xsd:complexContent>
          <xsd:extension base="dms:MultiChoiceLookup">
            <xsd:sequence>
              <xsd:element name="Value" type="dms:Lookup" maxOccurs="unbounded" minOccurs="0" nillable="true"/>
            </xsd:sequence>
          </xsd:extension>
        </xsd:complexContent>
      </xsd:complexType>
    </xsd:element>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d2f24b0-6a96-4e49-96e5-f74f55a217b4" elementFormDefault="qualified">
    <xsd:import namespace="http://schemas.microsoft.com/office/2006/documentManagement/types"/>
    <xsd:import namespace="http://schemas.microsoft.com/office/infopath/2007/PartnerControls"/>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561a58a-835c-4bfd-ad4e-939529893ef0" elementFormDefault="qualified">
    <xsd:import namespace="http://schemas.microsoft.com/office/2006/documentManagement/types"/>
    <xsd:import namespace="http://schemas.microsoft.com/office/infopath/2007/PartnerControls"/>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OCR" ma:index="26" nillable="true" ma:displayName="Extracted Text" ma:internalName="MediaServiceOCR" ma:readOnly="true">
      <xsd:simpleType>
        <xsd:restriction base="dms:Note">
          <xsd:maxLength value="255"/>
        </xsd:restriction>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Location" ma:index="31" nillable="true" ma:displayName="Location" ma:internalName="MediaServiceLocatio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lcf76f155ced4ddcb4097134ff3c332f" ma:index="34" nillable="true" ma:taxonomy="true" ma:internalName="lcf76f155ced4ddcb4097134ff3c332f" ma:taxonomyFieldName="MediaServiceImageTags" ma:displayName="Image Tags" ma:readOnly="false" ma:fieldId="{5cf76f15-5ced-4ddc-b409-7134ff3c332f}" ma:taxonomyMulti="true" ma:sspId="9292314e-c97d-49c1-8ae7-4cb6e1c4f97c"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B6CCD8-5263-451E-9A46-91DE2BE3C6D0}">
  <ds:schemaRefs>
    <ds:schemaRef ds:uri="http://schemas.microsoft.com/DataMashup"/>
  </ds:schemaRefs>
</ds:datastoreItem>
</file>

<file path=customXml/itemProps2.xml><?xml version="1.0" encoding="utf-8"?>
<ds:datastoreItem xmlns:ds="http://schemas.openxmlformats.org/officeDocument/2006/customXml" ds:itemID="{55B6AD57-EFC3-435C-9077-345CE02B15CB}"/>
</file>

<file path=customXml/itemProps3.xml><?xml version="1.0" encoding="utf-8"?>
<ds:datastoreItem xmlns:ds="http://schemas.openxmlformats.org/officeDocument/2006/customXml" ds:itemID="{05140579-CF0C-4E58-9963-1360EF78F46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Introduction</vt:lpstr>
      <vt:lpstr>STEP 1 Benchmark</vt:lpstr>
      <vt:lpstr>STEP 2 Detailed analysis</vt:lpstr>
      <vt:lpstr>System analysis report</vt:lpstr>
      <vt:lpstr>Help - Step 1</vt:lpstr>
      <vt:lpstr>Help - Step data input</vt:lpstr>
      <vt:lpstr>Help - Step interpretation</vt:lpstr>
      <vt:lpstr>Help - Report</vt:lpstr>
      <vt:lpstr>Endguns</vt:lpstr>
      <vt:lpstr>Endgun models</vt:lpstr>
      <vt:lpstr>data for graph</vt:lpstr>
      <vt:lpstr>Solutions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Dennis J Watson (DEDJTR)</dc:creator>
  <cp:keywords/>
  <dc:description/>
  <cp:lastModifiedBy>Nick J O'Halloran (DJPR)</cp:lastModifiedBy>
  <cp:revision/>
  <dcterms:created xsi:type="dcterms:W3CDTF">2018-12-12T09:53:43Z</dcterms:created>
  <dcterms:modified xsi:type="dcterms:W3CDTF">2022-10-18T00:27:15Z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da7abd-22af-4be4-9080-cf0e1de95e2f_Enabled">
    <vt:lpwstr>true</vt:lpwstr>
  </property>
  <property fmtid="{D5CDD505-2E9C-101B-9397-08002B2CF9AE}" pid="3" name="MSIP_Label_aada7abd-22af-4be4-9080-cf0e1de95e2f_SetDate">
    <vt:lpwstr>2022-08-16T04:59:23Z</vt:lpwstr>
  </property>
  <property fmtid="{D5CDD505-2E9C-101B-9397-08002B2CF9AE}" pid="4" name="MSIP_Label_aada7abd-22af-4be4-9080-cf0e1de95e2f_Method">
    <vt:lpwstr>Privileged</vt:lpwstr>
  </property>
  <property fmtid="{D5CDD505-2E9C-101B-9397-08002B2CF9AE}" pid="5" name="MSIP_Label_aada7abd-22af-4be4-9080-cf0e1de95e2f_Name">
    <vt:lpwstr>Unofficial (DJPR)</vt:lpwstr>
  </property>
  <property fmtid="{D5CDD505-2E9C-101B-9397-08002B2CF9AE}" pid="6" name="MSIP_Label_aada7abd-22af-4be4-9080-cf0e1de95e2f_SiteId">
    <vt:lpwstr>722ea0be-3e1c-4b11-ad6f-9401d6856e24</vt:lpwstr>
  </property>
  <property fmtid="{D5CDD505-2E9C-101B-9397-08002B2CF9AE}" pid="7" name="MSIP_Label_aada7abd-22af-4be4-9080-cf0e1de95e2f_ActionId">
    <vt:lpwstr>d7553f49-f40d-47e7-940e-1483d8257ff3</vt:lpwstr>
  </property>
  <property fmtid="{D5CDD505-2E9C-101B-9397-08002B2CF9AE}" pid="8" name="MSIP_Label_aada7abd-22af-4be4-9080-cf0e1de95e2f_ContentBits">
    <vt:lpwstr>3</vt:lpwstr>
  </property>
</Properties>
</file>