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chart5.xml" ContentType="application/vnd.openxmlformats-officedocument.drawingml.chart+xml"/>
  <Override PartName="/xl/theme/themeOverride1.xml" ContentType="application/vnd.openxmlformats-officedocument.themeOverride+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2.xml" ContentType="application/vnd.openxmlformats-officedocument.themeOverride+xml"/>
  <Override PartName="/xl/drawings/drawing8.xml" ContentType="application/vnd.openxmlformats-officedocument.drawing+xml"/>
  <Override PartName="/xl/drawings/drawing4.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1.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4.xml" ContentType="application/vnd.openxmlformats-officedocument.spreadsheetml.comments+xml"/>
  <Override PartName="/xl/tables/table6.xml" ContentType="application/vnd.openxmlformats-officedocument.spreadsheetml.table+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https://vicgov-my.sharepoint.com/personal/nick_ohalloran_agriculture_vic_gov_au/Documents/CMA energy calculator/Travelling irrigator tool/"/>
    </mc:Choice>
  </mc:AlternateContent>
  <xr:revisionPtr revIDLastSave="590" documentId="13_ncr:1_{094F0219-84EA-4A1A-B62B-379B216CC524}" xr6:coauthVersionLast="47" xr6:coauthVersionMax="47" xr10:uidLastSave="{3D217BC7-DF86-4F6C-B78A-65F76F2DB3DA}"/>
  <bookViews>
    <workbookView xWindow="25080" yWindow="-120" windowWidth="29040" windowHeight="17640" tabRatio="883" xr2:uid="{7B735BFD-3139-43C6-B305-45349173B913}"/>
  </bookViews>
  <sheets>
    <sheet name="Introduction" sheetId="7" r:id="rId1"/>
    <sheet name="STEP 1 Benchmark" sheetId="8" r:id="rId2"/>
    <sheet name="STEP 2 Detailed analysis" sheetId="10" r:id="rId3"/>
    <sheet name="STEP 3 System capacity" sheetId="9" r:id="rId4"/>
    <sheet name="System Analysis Report" sheetId="12" r:id="rId5"/>
    <sheet name="Help - Step 1" sheetId="13" r:id="rId6"/>
    <sheet name="Help - Step 2 data input" sheetId="14" r:id="rId7"/>
    <sheet name="Help - Step interpretation" sheetId="15" r:id="rId8"/>
    <sheet name="Help - Step 3" sheetId="17" r:id="rId9"/>
    <sheet name="Help - Report" sheetId="16" r:id="rId10"/>
    <sheet name="Endgun models" sheetId="11" state="hidden" r:id="rId11"/>
    <sheet name="data for graph" sheetId="2" state="hidden" r:id="rId12"/>
  </sheets>
  <definedNames>
    <definedName name="_xlnm.Print_Area" localSheetId="4">'System Analysis Report'!$B$2:$X$44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1" i="10" l="1"/>
  <c r="F14" i="8" l="1"/>
  <c r="F15" i="8"/>
  <c r="F16" i="8"/>
  <c r="F17" i="8"/>
  <c r="F18" i="8"/>
  <c r="F19" i="8"/>
  <c r="F20" i="8"/>
  <c r="F21" i="8"/>
  <c r="F22" i="8"/>
  <c r="F23" i="8"/>
  <c r="B11" i="10" l="1"/>
  <c r="D21" i="10" l="1"/>
  <c r="D17" i="12"/>
  <c r="AF23" i="10"/>
  <c r="AF20" i="10" l="1"/>
  <c r="AI13" i="10"/>
  <c r="AF24" i="10"/>
  <c r="E11" i="10"/>
  <c r="E8" i="10"/>
  <c r="E7" i="10"/>
  <c r="B8" i="10"/>
  <c r="B7" i="10"/>
  <c r="V5" i="12"/>
  <c r="B25" i="12"/>
  <c r="O6" i="12" l="1"/>
  <c r="X11" i="12"/>
  <c r="X15" i="12"/>
  <c r="X12" i="12"/>
  <c r="X13" i="12"/>
  <c r="X14" i="12"/>
  <c r="W11" i="12"/>
  <c r="W12" i="12"/>
  <c r="W13" i="12"/>
  <c r="U11" i="12"/>
  <c r="U15" i="12"/>
  <c r="U12" i="12"/>
  <c r="U13" i="12"/>
  <c r="U14" i="12"/>
  <c r="BB4" i="10"/>
  <c r="G22" i="12" l="1"/>
  <c r="F4" i="12"/>
  <c r="I4" i="12"/>
  <c r="L4" i="12"/>
  <c r="O4" i="12"/>
  <c r="R4" i="12"/>
  <c r="V4" i="12"/>
  <c r="F6" i="12"/>
  <c r="G6" i="12"/>
  <c r="I6" i="12"/>
  <c r="J6" i="12"/>
  <c r="L6" i="12"/>
  <c r="M6" i="12"/>
  <c r="P6" i="12"/>
  <c r="R6" i="12"/>
  <c r="S6" i="12"/>
  <c r="X5" i="12"/>
  <c r="B8" i="12"/>
  <c r="U10" i="12"/>
  <c r="W10" i="12"/>
  <c r="D5" i="12"/>
  <c r="M16" i="12"/>
  <c r="Q16" i="12"/>
  <c r="B9" i="12"/>
  <c r="C9" i="12"/>
  <c r="D9" i="12"/>
  <c r="M18" i="12"/>
  <c r="N18" i="12"/>
  <c r="Q18" i="12"/>
  <c r="R18" i="12"/>
  <c r="B10" i="12"/>
  <c r="D10" i="12"/>
  <c r="B13" i="12"/>
  <c r="B14" i="12"/>
  <c r="D14" i="12"/>
  <c r="B32" i="12"/>
  <c r="B11" i="12"/>
  <c r="D11" i="12"/>
  <c r="B15" i="12"/>
  <c r="D15" i="12"/>
  <c r="B16" i="12"/>
  <c r="D16" i="12"/>
  <c r="F20" i="12"/>
  <c r="I20" i="12"/>
  <c r="M20" i="12"/>
  <c r="O20" i="12"/>
  <c r="P20" i="12"/>
  <c r="T20" i="12"/>
  <c r="F21" i="12"/>
  <c r="J21" i="12"/>
  <c r="R21" i="12"/>
  <c r="T21" i="12"/>
  <c r="F22" i="12"/>
  <c r="J22" i="12"/>
  <c r="O22" i="12"/>
  <c r="P22" i="12"/>
  <c r="R22" i="12"/>
  <c r="F23" i="12"/>
  <c r="J23" i="12"/>
  <c r="M23" i="12"/>
  <c r="R23" i="12"/>
  <c r="X23" i="12"/>
  <c r="F27" i="12"/>
  <c r="Q27" i="12"/>
  <c r="Y14" i="10"/>
  <c r="X10" i="12" s="1"/>
  <c r="R193" i="11"/>
  <c r="R194" i="11"/>
  <c r="R195" i="11"/>
  <c r="R196" i="11"/>
  <c r="R197" i="11"/>
  <c r="R198" i="11"/>
  <c r="R199" i="11"/>
  <c r="R200" i="11"/>
  <c r="R201" i="11"/>
  <c r="AE42" i="10"/>
  <c r="R6" i="9" l="1"/>
  <c r="R5" i="9"/>
  <c r="BB15" i="10"/>
  <c r="AF18" i="10" l="1"/>
  <c r="AG18" i="10"/>
  <c r="AL14" i="10" s="1"/>
  <c r="E22" i="10"/>
  <c r="D7" i="12" s="1"/>
  <c r="AH18" i="10" l="1"/>
  <c r="E35" i="11"/>
  <c r="AL11" i="10" l="1"/>
  <c r="C7" i="12"/>
  <c r="AG23" i="10"/>
  <c r="E27" i="10" s="1"/>
  <c r="Y31" i="10"/>
  <c r="X22" i="12" s="1"/>
  <c r="Y30" i="10"/>
  <c r="X21" i="12" s="1"/>
  <c r="AC8" i="10" l="1"/>
  <c r="G53" i="11" l="1"/>
  <c r="G54" i="11"/>
  <c r="G42" i="11"/>
  <c r="G52" i="11"/>
  <c r="G55" i="11"/>
  <c r="AE30" i="10" l="1"/>
  <c r="AE31" i="10"/>
  <c r="H36" i="11" l="1"/>
  <c r="H55" i="11"/>
  <c r="H54" i="11"/>
  <c r="H53" i="11"/>
  <c r="H52" i="11"/>
  <c r="H42" i="11"/>
  <c r="O2" i="11" l="1"/>
  <c r="E4" i="11"/>
  <c r="O3" i="11" l="1"/>
  <c r="N31" i="10"/>
  <c r="M22" i="12" s="1"/>
  <c r="N30" i="10"/>
  <c r="M21" i="12" s="1"/>
  <c r="AF22" i="10"/>
  <c r="AF25" i="10"/>
  <c r="X18" i="10" s="1"/>
  <c r="W14" i="12" s="1"/>
  <c r="C8" i="12" l="1"/>
  <c r="C10" i="12"/>
  <c r="D35" i="11"/>
  <c r="M13" i="8"/>
  <c r="M11" i="8"/>
  <c r="K6" i="8"/>
  <c r="N6" i="8"/>
  <c r="D11" i="8"/>
  <c r="S6" i="8"/>
  <c r="S7" i="8"/>
  <c r="S8" i="8"/>
  <c r="S5" i="8"/>
  <c r="B8" i="8" l="1"/>
  <c r="U2" i="8" s="1"/>
  <c r="E12" i="10"/>
  <c r="E13" i="10" s="1"/>
  <c r="D6" i="12" s="1"/>
  <c r="B27" i="10"/>
  <c r="D8" i="12"/>
  <c r="I57" i="11"/>
  <c r="G57" i="11" s="1"/>
  <c r="H57" i="11" s="1"/>
  <c r="I58" i="11"/>
  <c r="I37" i="11"/>
  <c r="G37" i="11" s="1"/>
  <c r="H37" i="11" s="1"/>
  <c r="I47" i="11"/>
  <c r="G47" i="11" s="1"/>
  <c r="H47" i="11" s="1"/>
  <c r="I39" i="11"/>
  <c r="G39" i="11" s="1"/>
  <c r="H39" i="11" s="1"/>
  <c r="I38" i="11"/>
  <c r="G38" i="11" s="1"/>
  <c r="H38" i="11" s="1"/>
  <c r="I41" i="11"/>
  <c r="G41" i="11" s="1"/>
  <c r="H41" i="11" s="1"/>
  <c r="I43" i="11"/>
  <c r="G43" i="11" s="1"/>
  <c r="H43" i="11" s="1"/>
  <c r="I56" i="11"/>
  <c r="G56" i="11" s="1"/>
  <c r="H56" i="11" s="1"/>
  <c r="I46" i="11"/>
  <c r="G46" i="11" s="1"/>
  <c r="H46" i="11" s="1"/>
  <c r="I44" i="11"/>
  <c r="G44" i="11" s="1"/>
  <c r="H44" i="11" s="1"/>
  <c r="I45" i="11"/>
  <c r="G45" i="11" s="1"/>
  <c r="H45" i="11" s="1"/>
  <c r="I50" i="11"/>
  <c r="G50" i="11" s="1"/>
  <c r="H50" i="11" s="1"/>
  <c r="I49" i="11"/>
  <c r="G49" i="11" s="1"/>
  <c r="H49" i="11" s="1"/>
  <c r="I40" i="11"/>
  <c r="G40" i="11" s="1"/>
  <c r="H40" i="11" s="1"/>
  <c r="I51" i="11"/>
  <c r="G51" i="11" s="1"/>
  <c r="H51" i="11" s="1"/>
  <c r="I48" i="11"/>
  <c r="G48" i="11" s="1"/>
  <c r="H48" i="11" s="1"/>
  <c r="K35" i="11"/>
  <c r="D4" i="11"/>
  <c r="R192" i="11"/>
  <c r="R191" i="11"/>
  <c r="R190" i="11"/>
  <c r="R189" i="11"/>
  <c r="R188" i="11"/>
  <c r="R187" i="11"/>
  <c r="R186" i="11"/>
  <c r="R185" i="11"/>
  <c r="R184" i="11"/>
  <c r="R183" i="11"/>
  <c r="R182" i="11"/>
  <c r="R181" i="11"/>
  <c r="R180" i="11"/>
  <c r="R179" i="11"/>
  <c r="R178" i="11"/>
  <c r="R177" i="11"/>
  <c r="R176" i="11"/>
  <c r="R175" i="11"/>
  <c r="R174" i="11"/>
  <c r="R173" i="11"/>
  <c r="R172" i="11"/>
  <c r="R171" i="11"/>
  <c r="R170" i="11"/>
  <c r="R169" i="11"/>
  <c r="R168" i="11"/>
  <c r="R167" i="11"/>
  <c r="R166" i="11"/>
  <c r="R165" i="11"/>
  <c r="R164" i="11"/>
  <c r="R163" i="11"/>
  <c r="R162" i="11"/>
  <c r="R161" i="11"/>
  <c r="R160" i="11"/>
  <c r="R159" i="11"/>
  <c r="R158" i="11"/>
  <c r="R157" i="11"/>
  <c r="R156" i="11"/>
  <c r="R155" i="11"/>
  <c r="R154" i="11"/>
  <c r="R153" i="11"/>
  <c r="R152" i="11"/>
  <c r="R151" i="11"/>
  <c r="R150" i="11"/>
  <c r="R149" i="11"/>
  <c r="R148" i="11"/>
  <c r="R147" i="11"/>
  <c r="R146" i="11"/>
  <c r="R145" i="11"/>
  <c r="R144" i="11"/>
  <c r="R143" i="11"/>
  <c r="R142" i="11"/>
  <c r="R141" i="11"/>
  <c r="R140" i="11"/>
  <c r="R139" i="11"/>
  <c r="R138" i="11"/>
  <c r="R137" i="11"/>
  <c r="R136" i="11"/>
  <c r="R135" i="11"/>
  <c r="R134" i="11"/>
  <c r="R133" i="11"/>
  <c r="R132" i="11"/>
  <c r="R131" i="11"/>
  <c r="R130" i="11"/>
  <c r="R129" i="11"/>
  <c r="R128" i="11"/>
  <c r="R127" i="11"/>
  <c r="R126" i="11"/>
  <c r="R125" i="11"/>
  <c r="R124" i="11"/>
  <c r="R123" i="11"/>
  <c r="R122" i="11"/>
  <c r="R121" i="11"/>
  <c r="R120" i="11"/>
  <c r="R119" i="11"/>
  <c r="R118" i="11"/>
  <c r="R117" i="11"/>
  <c r="R116" i="11"/>
  <c r="R115" i="11"/>
  <c r="R114" i="11"/>
  <c r="R113" i="11"/>
  <c r="R112" i="11"/>
  <c r="R111" i="11"/>
  <c r="R110" i="11"/>
  <c r="R109" i="11"/>
  <c r="R108" i="11"/>
  <c r="R107" i="11"/>
  <c r="R106" i="11"/>
  <c r="R105" i="11"/>
  <c r="R104" i="11"/>
  <c r="R103" i="11"/>
  <c r="R102" i="11"/>
  <c r="R101" i="11"/>
  <c r="R100" i="11"/>
  <c r="R99" i="11"/>
  <c r="R98" i="11"/>
  <c r="R97" i="11"/>
  <c r="R96" i="11"/>
  <c r="R95" i="11"/>
  <c r="R94" i="11"/>
  <c r="R93" i="11"/>
  <c r="R92" i="11"/>
  <c r="R91" i="11"/>
  <c r="R90" i="11"/>
  <c r="R89" i="11"/>
  <c r="R88" i="11"/>
  <c r="R87" i="11"/>
  <c r="R86" i="11"/>
  <c r="R85" i="11"/>
  <c r="R84" i="11"/>
  <c r="R83" i="11"/>
  <c r="R82" i="11"/>
  <c r="R81" i="11"/>
  <c r="R80" i="11"/>
  <c r="R79" i="11"/>
  <c r="R78" i="11"/>
  <c r="R77" i="11"/>
  <c r="R76" i="11"/>
  <c r="R75" i="11"/>
  <c r="R74" i="11"/>
  <c r="R73" i="11"/>
  <c r="R72" i="11"/>
  <c r="R71" i="11"/>
  <c r="R70" i="11"/>
  <c r="R69" i="11"/>
  <c r="R68" i="11"/>
  <c r="R67" i="11"/>
  <c r="R66" i="11"/>
  <c r="R65" i="11"/>
  <c r="R64" i="11"/>
  <c r="R63" i="11"/>
  <c r="R62" i="11"/>
  <c r="R61" i="11"/>
  <c r="R60" i="11"/>
  <c r="R59" i="11"/>
  <c r="R58" i="11"/>
  <c r="R57" i="11"/>
  <c r="R56" i="11"/>
  <c r="R55" i="11"/>
  <c r="R54" i="11"/>
  <c r="R53" i="11"/>
  <c r="R52" i="11"/>
  <c r="R51" i="11"/>
  <c r="R50" i="11"/>
  <c r="R49" i="11"/>
  <c r="R48" i="11"/>
  <c r="R47" i="11"/>
  <c r="R46" i="11"/>
  <c r="R45" i="11"/>
  <c r="R44" i="11"/>
  <c r="R43" i="11"/>
  <c r="R42" i="11"/>
  <c r="R41" i="11"/>
  <c r="R40" i="11"/>
  <c r="R39" i="11"/>
  <c r="R38" i="11"/>
  <c r="R37" i="11"/>
  <c r="R36" i="11"/>
  <c r="R35" i="11"/>
  <c r="R34" i="11"/>
  <c r="R33" i="11"/>
  <c r="R32" i="11"/>
  <c r="R31" i="11"/>
  <c r="R30" i="11"/>
  <c r="R29" i="11"/>
  <c r="R28" i="11"/>
  <c r="R27" i="11"/>
  <c r="R26" i="11"/>
  <c r="R25" i="11"/>
  <c r="R24" i="11"/>
  <c r="R23" i="11"/>
  <c r="R22" i="11"/>
  <c r="R21" i="11"/>
  <c r="R20" i="11"/>
  <c r="R19" i="11"/>
  <c r="R18" i="11"/>
  <c r="R17" i="11"/>
  <c r="R16" i="11"/>
  <c r="R15" i="11"/>
  <c r="R14" i="11"/>
  <c r="R13" i="11"/>
  <c r="R12" i="11"/>
  <c r="R11" i="11"/>
  <c r="R10" i="11"/>
  <c r="R9" i="11"/>
  <c r="R8" i="11"/>
  <c r="R7" i="11"/>
  <c r="R6" i="11"/>
  <c r="R5" i="11"/>
  <c r="H5" i="11"/>
  <c r="R4" i="11"/>
  <c r="R3" i="11"/>
  <c r="R2" i="11"/>
  <c r="O5" i="11" l="1"/>
  <c r="O8" i="11"/>
  <c r="G58" i="11"/>
  <c r="I35" i="11"/>
  <c r="AR8" i="10" s="1"/>
  <c r="I21" i="11"/>
  <c r="G21" i="11"/>
  <c r="K47" i="11"/>
  <c r="K50" i="11"/>
  <c r="K41" i="11"/>
  <c r="K38" i="11"/>
  <c r="K44" i="11"/>
  <c r="M35" i="11"/>
  <c r="L37" i="11"/>
  <c r="L40" i="11" s="1"/>
  <c r="L43" i="11" s="1"/>
  <c r="L46" i="11" s="1"/>
  <c r="L49" i="11" s="1"/>
  <c r="L52" i="11" s="1"/>
  <c r="K36" i="11"/>
  <c r="L35" i="11"/>
  <c r="L38" i="11" s="1"/>
  <c r="L41" i="11" s="1"/>
  <c r="L44" i="11" s="1"/>
  <c r="L47" i="11" s="1"/>
  <c r="L50" i="11" s="1"/>
  <c r="L36" i="11"/>
  <c r="L39" i="11" s="1"/>
  <c r="L42" i="11" s="1"/>
  <c r="L45" i="11" s="1"/>
  <c r="L48" i="11" s="1"/>
  <c r="L51" i="11" s="1"/>
  <c r="I25" i="11"/>
  <c r="I15" i="11"/>
  <c r="I27" i="11"/>
  <c r="I6" i="11"/>
  <c r="I28" i="11"/>
  <c r="G28" i="11"/>
  <c r="H28" i="11" s="1"/>
  <c r="G6" i="11"/>
  <c r="H6" i="11" s="1"/>
  <c r="G8" i="11"/>
  <c r="I7" i="11"/>
  <c r="I8" i="11"/>
  <c r="I19" i="11"/>
  <c r="I17" i="11"/>
  <c r="I13" i="11"/>
  <c r="I12" i="11"/>
  <c r="I11" i="11"/>
  <c r="I20" i="11"/>
  <c r="I18" i="11"/>
  <c r="I16" i="11"/>
  <c r="I14" i="11"/>
  <c r="I29" i="11"/>
  <c r="I26" i="11"/>
  <c r="I24" i="11"/>
  <c r="I10" i="11"/>
  <c r="I9" i="11"/>
  <c r="G10" i="11"/>
  <c r="G24" i="11"/>
  <c r="G9" i="11"/>
  <c r="G11" i="11"/>
  <c r="G25" i="11"/>
  <c r="G27" i="11"/>
  <c r="G12" i="11"/>
  <c r="G13" i="11"/>
  <c r="G15" i="11"/>
  <c r="G17" i="11"/>
  <c r="G19" i="11"/>
  <c r="G26" i="11"/>
  <c r="G29" i="11"/>
  <c r="G14" i="11"/>
  <c r="G16" i="11"/>
  <c r="G18" i="11"/>
  <c r="G20" i="11"/>
  <c r="G7" i="11"/>
  <c r="W9" i="10" l="1"/>
  <c r="V6" i="12" s="1"/>
  <c r="AF31" i="10"/>
  <c r="I4" i="11"/>
  <c r="K4" i="11" s="1"/>
  <c r="H58" i="11"/>
  <c r="H35" i="11" s="1"/>
  <c r="G35" i="11"/>
  <c r="H21" i="11"/>
  <c r="G4" i="11"/>
  <c r="AF30" i="10"/>
  <c r="AF35" i="10" s="1"/>
  <c r="X31" i="10"/>
  <c r="W22" i="12" s="1"/>
  <c r="H14" i="11"/>
  <c r="H13" i="11"/>
  <c r="H11" i="11"/>
  <c r="H24" i="11"/>
  <c r="H20" i="11"/>
  <c r="H19" i="11"/>
  <c r="H12" i="11"/>
  <c r="H9" i="11"/>
  <c r="H10" i="11"/>
  <c r="H18" i="11"/>
  <c r="H29" i="11"/>
  <c r="H17" i="11"/>
  <c r="H27" i="11"/>
  <c r="H7" i="11"/>
  <c r="H16" i="11"/>
  <c r="H26" i="11"/>
  <c r="H15" i="11"/>
  <c r="H25" i="11"/>
  <c r="H8" i="11"/>
  <c r="U31" i="10" l="1"/>
  <c r="T22" i="12" s="1"/>
  <c r="AF26" i="10"/>
  <c r="K51" i="11"/>
  <c r="K42" i="11"/>
  <c r="K48" i="11"/>
  <c r="K45" i="11"/>
  <c r="K39" i="11"/>
  <c r="H4" i="11"/>
  <c r="AF21" i="10" s="1"/>
  <c r="K5" i="11"/>
  <c r="K29" i="11"/>
  <c r="K12" i="11" s="1"/>
  <c r="L5" i="11"/>
  <c r="L8" i="11" s="1"/>
  <c r="L11" i="11" s="1"/>
  <c r="L26" i="11" s="1"/>
  <c r="L12" i="11" s="1"/>
  <c r="L14" i="11" s="1"/>
  <c r="K7" i="11"/>
  <c r="K8" i="11" s="1"/>
  <c r="K25" i="11"/>
  <c r="K26" i="11" s="1"/>
  <c r="K13" i="11"/>
  <c r="K14" i="11" s="1"/>
  <c r="K10" i="11"/>
  <c r="K11" i="11" s="1"/>
  <c r="L4" i="11"/>
  <c r="L7" i="11" s="1"/>
  <c r="L10" i="11" s="1"/>
  <c r="L25" i="11" s="1"/>
  <c r="L29" i="11" s="1"/>
  <c r="L13" i="11" s="1"/>
  <c r="M4" i="11"/>
  <c r="L6" i="11"/>
  <c r="L9" i="11" s="1"/>
  <c r="L24" i="11" s="1"/>
  <c r="L27" i="11" s="1"/>
  <c r="L28" i="11" s="1"/>
  <c r="L15" i="11" s="1"/>
  <c r="AF19" i="10"/>
  <c r="AC10" i="10"/>
  <c r="AB10" i="10"/>
  <c r="AC9" i="10"/>
  <c r="AB9" i="10"/>
  <c r="AC7" i="10"/>
  <c r="AB7" i="10"/>
  <c r="AC6" i="10"/>
  <c r="AB6" i="10"/>
  <c r="AC5" i="10"/>
  <c r="AB5" i="10"/>
  <c r="K12" i="9"/>
  <c r="D19" i="10" l="1"/>
  <c r="AG19" i="10" s="1"/>
  <c r="AH19" i="10" s="1"/>
  <c r="AD6" i="10"/>
  <c r="AF27" i="10"/>
  <c r="V21" i="10" s="1"/>
  <c r="B22" i="12" s="1"/>
  <c r="X19" i="10"/>
  <c r="W15" i="12" s="1"/>
  <c r="AD7" i="10"/>
  <c r="AD5" i="10"/>
  <c r="AD10" i="10"/>
  <c r="AD9" i="10"/>
  <c r="F8" i="8"/>
  <c r="K10" i="9" l="1"/>
  <c r="C5" i="12"/>
  <c r="X30" i="10"/>
  <c r="W21" i="12" s="1"/>
  <c r="AF33" i="10"/>
  <c r="AF34" i="10" s="1"/>
  <c r="K4" i="9"/>
  <c r="BB46" i="10"/>
  <c r="C15" i="12" s="1"/>
  <c r="AK13" i="10"/>
  <c r="AF8" i="10"/>
  <c r="AB8" i="10"/>
  <c r="AD8" i="10" s="1"/>
  <c r="AF7" i="10" s="1"/>
  <c r="AF5" i="10"/>
  <c r="AR5" i="10" s="1"/>
  <c r="AF11" i="10"/>
  <c r="H30" i="10" s="1"/>
  <c r="K11" i="9"/>
  <c r="AI10" i="10"/>
  <c r="Q10" i="10" l="1"/>
  <c r="BB45" i="10"/>
  <c r="C14" i="12" s="1"/>
  <c r="I30" i="10" a="1"/>
  <c r="I30" i="10" s="1"/>
  <c r="AP13" i="10"/>
  <c r="AH7" i="10"/>
  <c r="Q30" i="10" s="1"/>
  <c r="AF6" i="10"/>
  <c r="K10" i="10" l="1"/>
  <c r="AQ7" i="10"/>
  <c r="AR7" i="10" s="1"/>
  <c r="P21" i="12"/>
  <c r="H21" i="12"/>
  <c r="G21" i="12"/>
  <c r="AI9" i="10"/>
  <c r="AF13" i="10"/>
  <c r="AH6" i="10"/>
  <c r="P30" i="10" l="1"/>
  <c r="O21" i="12" s="1"/>
  <c r="AG7" i="10"/>
  <c r="AI7" i="10" s="1"/>
  <c r="AG6" i="10"/>
  <c r="AI6" i="10" s="1"/>
  <c r="AG5" i="10"/>
  <c r="AI5" i="10" s="1"/>
  <c r="AG8" i="10"/>
  <c r="AI8" i="10" s="1"/>
  <c r="AQ6" i="10" l="1"/>
  <c r="AR6" i="10" s="1"/>
  <c r="AI12" i="10"/>
  <c r="D28" i="10"/>
  <c r="G23" i="10" s="1" a="1"/>
  <c r="G23" i="10" s="1"/>
  <c r="B19" i="12" s="1"/>
  <c r="BB47" i="10"/>
  <c r="C16" i="12" s="1"/>
  <c r="AG11" i="10"/>
  <c r="AI11" i="10"/>
  <c r="AJ10" i="10" s="1"/>
  <c r="AP10" i="10" s="1"/>
  <c r="F13" i="8"/>
  <c r="R27" i="8" s="1"/>
  <c r="R28" i="8"/>
  <c r="S28" i="8" s="1"/>
  <c r="R29" i="8"/>
  <c r="T29" i="8" s="1"/>
  <c r="R30" i="8"/>
  <c r="T30" i="8" s="1"/>
  <c r="R31" i="8"/>
  <c r="T31" i="8" s="1"/>
  <c r="R32" i="8"/>
  <c r="S32" i="8" s="1"/>
  <c r="R33" i="8"/>
  <c r="T33" i="8" s="1"/>
  <c r="R34" i="8"/>
  <c r="T34" i="8" s="1"/>
  <c r="R35" i="8"/>
  <c r="S35" i="8" s="1"/>
  <c r="R36" i="8"/>
  <c r="R37" i="8"/>
  <c r="T37" i="8" s="1"/>
  <c r="F12" i="8"/>
  <c r="R26" i="8" s="1"/>
  <c r="T26" i="8" s="1"/>
  <c r="U23" i="8"/>
  <c r="B16" i="8"/>
  <c r="R13" i="8" s="1"/>
  <c r="T13" i="8" s="1"/>
  <c r="B12" i="8"/>
  <c r="R9" i="8" s="1"/>
  <c r="S9" i="8" s="1"/>
  <c r="B13" i="8"/>
  <c r="R10" i="8" s="1"/>
  <c r="B14" i="8"/>
  <c r="R11" i="8" s="1"/>
  <c r="B15" i="8"/>
  <c r="R12" i="8" s="1"/>
  <c r="B17" i="8"/>
  <c r="R14" i="8" s="1"/>
  <c r="B18" i="8"/>
  <c r="R15" i="8" s="1"/>
  <c r="B19" i="8"/>
  <c r="R16" i="8" s="1"/>
  <c r="B20" i="8"/>
  <c r="R17" i="8" s="1"/>
  <c r="T17" i="8" s="1"/>
  <c r="B21" i="8"/>
  <c r="R18" i="8" s="1"/>
  <c r="B22" i="8"/>
  <c r="R19" i="8" s="1"/>
  <c r="B23" i="8"/>
  <c r="R20" i="8" s="1"/>
  <c r="AR11" i="10" l="1"/>
  <c r="C11" i="12"/>
  <c r="AJ6" i="10"/>
  <c r="AK10" i="10"/>
  <c r="AJ7" i="10"/>
  <c r="AK7" i="10" s="1"/>
  <c r="AS7" i="10" s="1"/>
  <c r="AJ5" i="10"/>
  <c r="AJ8" i="10"/>
  <c r="AP8" i="10" s="1"/>
  <c r="AJ9" i="10"/>
  <c r="AK9" i="10" s="1"/>
  <c r="K13" i="9"/>
  <c r="K14" i="9" s="1"/>
  <c r="K7" i="9" s="1"/>
  <c r="S27" i="8"/>
  <c r="T27" i="8"/>
  <c r="S36" i="8"/>
  <c r="T36" i="8"/>
  <c r="T35" i="8"/>
  <c r="T32" i="8"/>
  <c r="T28" i="8"/>
  <c r="S31" i="8"/>
  <c r="S26" i="8"/>
  <c r="S30" i="8"/>
  <c r="S34" i="8"/>
  <c r="S29" i="8"/>
  <c r="S33" i="8"/>
  <c r="S37" i="8"/>
  <c r="S15" i="8"/>
  <c r="T15" i="8"/>
  <c r="S20" i="8"/>
  <c r="T20" i="8"/>
  <c r="S16" i="8"/>
  <c r="T16" i="8"/>
  <c r="T11" i="8"/>
  <c r="S11" i="8"/>
  <c r="S19" i="8"/>
  <c r="T19" i="8"/>
  <c r="S10" i="8"/>
  <c r="T10" i="8"/>
  <c r="S18" i="8"/>
  <c r="T18" i="8"/>
  <c r="S14" i="8"/>
  <c r="T14" i="8"/>
  <c r="S12" i="8"/>
  <c r="T12" i="8"/>
  <c r="T9" i="8"/>
  <c r="S17" i="8"/>
  <c r="S13" i="8"/>
  <c r="AS10" i="10" l="1"/>
  <c r="AK6" i="10"/>
  <c r="AS6" i="10" s="1"/>
  <c r="AS9" i="10"/>
  <c r="AW9" i="10" s="1"/>
  <c r="AK5" i="10"/>
  <c r="AJ12" i="10"/>
  <c r="N4" i="9" a="1"/>
  <c r="N4" i="9" s="1"/>
  <c r="AP7" i="10"/>
  <c r="AP6" i="10"/>
  <c r="AP9" i="10"/>
  <c r="AP5" i="10"/>
  <c r="AJ11" i="10"/>
  <c r="AK8" i="10"/>
  <c r="AS8" i="10" s="1"/>
  <c r="L6" i="8"/>
  <c r="M7" i="8"/>
  <c r="AL13" i="10" s="1"/>
  <c r="AR13" i="10" s="1"/>
  <c r="M6" i="8"/>
  <c r="AM14" i="10" s="1"/>
  <c r="AS5" i="10" l="1"/>
  <c r="AP12" i="10"/>
  <c r="AP11" i="10"/>
  <c r="AW11" i="10" s="1"/>
  <c r="AW13" i="10" s="1"/>
  <c r="AK12" i="10"/>
  <c r="AM8" i="10"/>
  <c r="AK11" i="10"/>
  <c r="C17" i="12" s="1"/>
  <c r="AM6" i="10"/>
  <c r="AF15" i="10"/>
  <c r="AM5" i="10"/>
  <c r="AM10" i="10"/>
  <c r="AM9" i="10"/>
  <c r="AM7" i="10"/>
  <c r="AS11" i="10"/>
  <c r="AS13" i="10" s="1"/>
  <c r="L12" i="8"/>
  <c r="L13" i="8"/>
  <c r="L11" i="8"/>
  <c r="AM12" i="10" l="1"/>
  <c r="AD5" i="2"/>
  <c r="T5" i="2"/>
  <c r="X49" i="2"/>
  <c r="Z49" i="2" s="1" a="1"/>
  <c r="Z49" i="2" s="1"/>
  <c r="X50" i="2"/>
  <c r="Z50" i="2" s="1" a="1"/>
  <c r="Z50" i="2" s="1"/>
  <c r="X53" i="2"/>
  <c r="Z53" i="2" s="1" a="1"/>
  <c r="Z53" i="2" s="1"/>
  <c r="X37" i="2"/>
  <c r="Z37" i="2" s="1" a="1"/>
  <c r="Z37" i="2" s="1"/>
  <c r="X33" i="2"/>
  <c r="Z33" i="2" s="1" a="1"/>
  <c r="Z33" i="2" s="1"/>
  <c r="X46" i="2"/>
  <c r="Z46" i="2" s="1" a="1"/>
  <c r="Z46" i="2" s="1"/>
  <c r="X44" i="2"/>
  <c r="Z44" i="2" s="1" a="1"/>
  <c r="Z44" i="2" s="1"/>
  <c r="X48" i="2"/>
  <c r="Z48" i="2" s="1" a="1"/>
  <c r="Z48" i="2" s="1"/>
  <c r="Y46" i="2"/>
  <c r="Y48" i="2"/>
  <c r="X52" i="2"/>
  <c r="Z52" i="2" s="1" a="1"/>
  <c r="Z52" i="2" s="1"/>
  <c r="X31" i="2"/>
  <c r="Z31" i="2" s="1" a="1"/>
  <c r="Z31" i="2" s="1"/>
  <c r="X45" i="2"/>
  <c r="Z45" i="2" s="1" a="1"/>
  <c r="Z45" i="2" s="1"/>
  <c r="Y51" i="2"/>
  <c r="Y32" i="2"/>
  <c r="Y47" i="2"/>
  <c r="Y49" i="2"/>
  <c r="Y50" i="2"/>
  <c r="Y53" i="2"/>
  <c r="Y37" i="2"/>
  <c r="Y33" i="2"/>
  <c r="Y44" i="2"/>
  <c r="X51" i="2"/>
  <c r="Z51" i="2" s="1" a="1"/>
  <c r="Z51" i="2" s="1"/>
  <c r="X32" i="2"/>
  <c r="Z32" i="2" s="1" a="1"/>
  <c r="Z32" i="2" s="1"/>
  <c r="X35" i="2"/>
  <c r="Z35" i="2" s="1" a="1"/>
  <c r="Z35" i="2" s="1"/>
  <c r="X47" i="2"/>
  <c r="Z47" i="2" s="1" a="1"/>
  <c r="Z47" i="2" s="1"/>
  <c r="Y52" i="2"/>
  <c r="Y31" i="2"/>
  <c r="Y35" i="2"/>
  <c r="Y45" i="2"/>
  <c r="AB7" i="2"/>
  <c r="AD7" i="2" s="1" a="1"/>
  <c r="AD7" i="2" s="1"/>
  <c r="AB11" i="2"/>
  <c r="AD11" i="2" s="1" a="1"/>
  <c r="AD11" i="2" s="1"/>
  <c r="AB14" i="2"/>
  <c r="AB15" i="2"/>
  <c r="AB20" i="2"/>
  <c r="AB28" i="2"/>
  <c r="AB31" i="2"/>
  <c r="AD31" i="2" s="1" a="1"/>
  <c r="AD31" i="2" s="1"/>
  <c r="AB41" i="2"/>
  <c r="AD41" i="2" s="1" a="1"/>
  <c r="AD41" i="2" s="1"/>
  <c r="AB36" i="2"/>
  <c r="AD36" i="2" s="1" a="1"/>
  <c r="AD36" i="2" s="1"/>
  <c r="AB45" i="2"/>
  <c r="AD45" i="2" s="1" a="1"/>
  <c r="AD45" i="2" s="1"/>
  <c r="AB48" i="2"/>
  <c r="AD48" i="2" s="1" a="1"/>
  <c r="AD48" i="2" s="1"/>
  <c r="AB51" i="2"/>
  <c r="AD51" i="2" s="1" a="1"/>
  <c r="AD51" i="2" s="1"/>
  <c r="AB55" i="2"/>
  <c r="AD55" i="2" s="1" a="1"/>
  <c r="AD55" i="2" s="1"/>
  <c r="X8" i="2"/>
  <c r="Z8" i="2" s="1" a="1"/>
  <c r="Z8" i="2" s="1"/>
  <c r="X17" i="2"/>
  <c r="X26" i="2"/>
  <c r="Z26" i="2" s="1" a="1"/>
  <c r="Z26" i="2" s="1"/>
  <c r="X27" i="2"/>
  <c r="X34" i="2"/>
  <c r="Z34" i="2" s="1" a="1"/>
  <c r="Z34" i="2" s="1"/>
  <c r="AB10" i="2"/>
  <c r="AD10" i="2" s="1" a="1"/>
  <c r="AD10" i="2" s="1"/>
  <c r="AB13" i="2"/>
  <c r="AD13" i="2" s="1" a="1"/>
  <c r="AD13" i="2" s="1"/>
  <c r="AB17" i="2"/>
  <c r="AD17" i="2" s="1" a="1"/>
  <c r="AD17" i="2" s="1"/>
  <c r="AB23" i="2"/>
  <c r="AB26" i="2"/>
  <c r="AB27" i="2"/>
  <c r="AD27" i="2" s="1" a="1"/>
  <c r="AD27" i="2" s="1"/>
  <c r="AB33" i="2"/>
  <c r="AD33" i="2" s="1" a="1"/>
  <c r="AD33" i="2" s="1"/>
  <c r="AB40" i="2"/>
  <c r="AD40" i="2" s="1" a="1"/>
  <c r="AD40" i="2" s="1"/>
  <c r="AB42" i="2"/>
  <c r="AD42" i="2" s="1" a="1"/>
  <c r="AD42" i="2" s="1"/>
  <c r="AB44" i="2"/>
  <c r="AD44" i="2" s="1" a="1"/>
  <c r="AD44" i="2" s="1"/>
  <c r="AB52" i="2"/>
  <c r="AD52" i="2" s="1" a="1"/>
  <c r="AD52" i="2" s="1"/>
  <c r="AB53" i="2"/>
  <c r="AD53" i="2" s="1" a="1"/>
  <c r="AD53" i="2" s="1"/>
  <c r="X10" i="2"/>
  <c r="Z10" i="2" s="1" a="1"/>
  <c r="Z10" i="2" s="1"/>
  <c r="X13" i="2"/>
  <c r="Z13" i="2" s="1" a="1"/>
  <c r="Z13" i="2" s="1"/>
  <c r="X16" i="2"/>
  <c r="X18" i="2"/>
  <c r="Z18" i="2" s="1" a="1"/>
  <c r="Z18" i="2" s="1"/>
  <c r="X19" i="2"/>
  <c r="X21" i="2"/>
  <c r="X25" i="2"/>
  <c r="Z25" i="2" s="1" a="1"/>
  <c r="Z25" i="2" s="1"/>
  <c r="X29" i="2"/>
  <c r="Z29" i="2" s="1" a="1"/>
  <c r="Z29" i="2" s="1"/>
  <c r="X41" i="2"/>
  <c r="Z41" i="2" s="1" a="1"/>
  <c r="Z41" i="2" s="1"/>
  <c r="X36" i="2"/>
  <c r="Z36" i="2" s="1" a="1"/>
  <c r="Z36" i="2" s="1"/>
  <c r="X39" i="2"/>
  <c r="Z39" i="2" s="1" a="1"/>
  <c r="Z39" i="2" s="1"/>
  <c r="X43" i="2"/>
  <c r="Z43" i="2" s="1" a="1"/>
  <c r="Z43" i="2" s="1"/>
  <c r="X6" i="2"/>
  <c r="Z6" i="2" s="1" a="1"/>
  <c r="Z6" i="2" s="1"/>
  <c r="AB8" i="2"/>
  <c r="AD8" i="2" s="1" a="1"/>
  <c r="AD8" i="2" s="1"/>
  <c r="AB12" i="2"/>
  <c r="AB16" i="2"/>
  <c r="AD16" i="2" s="1" a="1"/>
  <c r="AD16" i="2" s="1"/>
  <c r="AB18" i="2"/>
  <c r="AB21" i="2"/>
  <c r="AD21" i="2" s="1" a="1"/>
  <c r="AD21" i="2" s="1"/>
  <c r="AB25" i="2"/>
  <c r="AB37" i="2"/>
  <c r="AD37" i="2" s="1" a="1"/>
  <c r="AD37" i="2" s="1"/>
  <c r="AB35" i="2"/>
  <c r="AD35" i="2" s="1" a="1"/>
  <c r="AD35" i="2" s="1"/>
  <c r="AB38" i="2"/>
  <c r="AD38" i="2" s="1" a="1"/>
  <c r="AD38" i="2" s="1"/>
  <c r="AB46" i="2"/>
  <c r="AD46" i="2" s="1" a="1"/>
  <c r="AD46" i="2" s="1"/>
  <c r="AB43" i="2"/>
  <c r="AD43" i="2" s="1" a="1"/>
  <c r="AD43" i="2" s="1"/>
  <c r="AB50" i="2"/>
  <c r="AD50" i="2" s="1" a="1"/>
  <c r="AD50" i="2" s="1"/>
  <c r="X7" i="2"/>
  <c r="Z7" i="2" s="1" a="1"/>
  <c r="Z7" i="2" s="1"/>
  <c r="X42" i="2"/>
  <c r="Z42" i="2" s="1" a="1"/>
  <c r="Z42" i="2" s="1"/>
  <c r="X12" i="2"/>
  <c r="X30" i="2"/>
  <c r="X15" i="2"/>
  <c r="X24" i="2"/>
  <c r="Z24" i="2" s="1" a="1"/>
  <c r="Z24" i="2" s="1"/>
  <c r="AB9" i="2"/>
  <c r="AD9" i="2" s="1" a="1"/>
  <c r="AD9" i="2" s="1"/>
  <c r="AB30" i="2"/>
  <c r="AD30" i="2" s="1" a="1"/>
  <c r="AD30" i="2" s="1"/>
  <c r="AB22" i="2"/>
  <c r="AD22" i="2" s="1" a="1"/>
  <c r="AD22" i="2" s="1"/>
  <c r="AB19" i="2"/>
  <c r="AB24" i="2"/>
  <c r="AD24" i="2" s="1" a="1"/>
  <c r="AD24" i="2" s="1"/>
  <c r="AB29" i="2"/>
  <c r="AD29" i="2" s="1" a="1"/>
  <c r="AD29" i="2" s="1"/>
  <c r="AB32" i="2"/>
  <c r="AD32" i="2" s="1" a="1"/>
  <c r="AD32" i="2" s="1"/>
  <c r="AB34" i="2"/>
  <c r="AD34" i="2" s="1" a="1"/>
  <c r="AD34" i="2" s="1"/>
  <c r="AB39" i="2"/>
  <c r="AD39" i="2" s="1" a="1"/>
  <c r="AD39" i="2" s="1"/>
  <c r="AB47" i="2"/>
  <c r="AD47" i="2" s="1" a="1"/>
  <c r="AD47" i="2" s="1"/>
  <c r="AB49" i="2"/>
  <c r="AD49" i="2" s="1" a="1"/>
  <c r="AD49" i="2" s="1"/>
  <c r="AB54" i="2"/>
  <c r="AD54" i="2" s="1" a="1"/>
  <c r="AD54" i="2" s="1"/>
  <c r="AB6" i="2"/>
  <c r="AD6" i="2" s="1" a="1"/>
  <c r="AD6" i="2" s="1"/>
  <c r="X9" i="2"/>
  <c r="Z9" i="2" s="1" a="1"/>
  <c r="Z9" i="2" s="1"/>
  <c r="X11" i="2"/>
  <c r="Z11" i="2" s="1" a="1"/>
  <c r="Z11" i="2" s="1"/>
  <c r="X14" i="2"/>
  <c r="X22" i="2"/>
  <c r="Z22" i="2" s="1" a="1"/>
  <c r="Z22" i="2" s="1"/>
  <c r="X23" i="2"/>
  <c r="X20" i="2"/>
  <c r="Z20" i="2" s="1" a="1"/>
  <c r="Z20" i="2" s="1"/>
  <c r="X28" i="2"/>
  <c r="Z28" i="2" s="1" a="1"/>
  <c r="Z28" i="2" s="1"/>
  <c r="X40" i="2"/>
  <c r="Z40" i="2" s="1" a="1"/>
  <c r="Z40" i="2" s="1"/>
  <c r="X38" i="2"/>
  <c r="Z38" i="2" s="1" a="1"/>
  <c r="Z38" i="2" s="1"/>
  <c r="X55" i="2"/>
  <c r="Z55" i="2" s="1" a="1"/>
  <c r="Z55" i="2" s="1"/>
  <c r="X54" i="2"/>
  <c r="Z54" i="2" s="1" a="1"/>
  <c r="Z54" i="2" s="1"/>
  <c r="AC7" i="2"/>
  <c r="AC20" i="2"/>
  <c r="AC36" i="2"/>
  <c r="AC55" i="2"/>
  <c r="Y22" i="2"/>
  <c r="Y38" i="2"/>
  <c r="AC27" i="2"/>
  <c r="Y24" i="2"/>
  <c r="AC9" i="2"/>
  <c r="AC24" i="2"/>
  <c r="AC39" i="2"/>
  <c r="Y12" i="2"/>
  <c r="Y10" i="2"/>
  <c r="Y54" i="2"/>
  <c r="AC19" i="2"/>
  <c r="AC34" i="2"/>
  <c r="AC54" i="2"/>
  <c r="Y17" i="2"/>
  <c r="Y41" i="2"/>
  <c r="AC13" i="2"/>
  <c r="AC43" i="2"/>
  <c r="AC16" i="2"/>
  <c r="AC33" i="2"/>
  <c r="Y25" i="2"/>
  <c r="AC38" i="2"/>
  <c r="AC15" i="2"/>
  <c r="AC51" i="2"/>
  <c r="AC6" i="2"/>
  <c r="AC50" i="2"/>
  <c r="Y26" i="2"/>
  <c r="AC8" i="2"/>
  <c r="AC10" i="2"/>
  <c r="AC26" i="2"/>
  <c r="AC42" i="2"/>
  <c r="Y7" i="2"/>
  <c r="Y18" i="2"/>
  <c r="AC37" i="2"/>
  <c r="Y28" i="2"/>
  <c r="AC11" i="2"/>
  <c r="AC28" i="2"/>
  <c r="AC45" i="2"/>
  <c r="Y16" i="2"/>
  <c r="Y43" i="2"/>
  <c r="Y29" i="2"/>
  <c r="AC12" i="2"/>
  <c r="AC25" i="2"/>
  <c r="AC46" i="2"/>
  <c r="Y42" i="2"/>
  <c r="Y15" i="2"/>
  <c r="Y8" i="2"/>
  <c r="AC52" i="2"/>
  <c r="Y27" i="2"/>
  <c r="AC35" i="2"/>
  <c r="AC44" i="2"/>
  <c r="AC14" i="2"/>
  <c r="AC31" i="2"/>
  <c r="AC48" i="2"/>
  <c r="Y9" i="2"/>
  <c r="Y23" i="2"/>
  <c r="AC40" i="2"/>
  <c r="Y34" i="2"/>
  <c r="AC22" i="2"/>
  <c r="AC32" i="2"/>
  <c r="AC49" i="2"/>
  <c r="Y21" i="2"/>
  <c r="Y40" i="2"/>
  <c r="AC53" i="2"/>
  <c r="Y39" i="2"/>
  <c r="AC30" i="2"/>
  <c r="AC29" i="2"/>
  <c r="AC47" i="2"/>
  <c r="Y13" i="2"/>
  <c r="Y20" i="2"/>
  <c r="Y55" i="2"/>
  <c r="AC21" i="2"/>
  <c r="Y11" i="2"/>
  <c r="AC17" i="2"/>
  <c r="Y30" i="2"/>
  <c r="AC23" i="2"/>
  <c r="Y6" i="2"/>
  <c r="AC41" i="2"/>
  <c r="Y36" i="2"/>
  <c r="AC18" i="2"/>
  <c r="Y14" i="2"/>
  <c r="Y19" i="2"/>
  <c r="AN14" i="10"/>
  <c r="N5" i="2"/>
  <c r="D12" i="10"/>
  <c r="AF16" i="10" s="1"/>
  <c r="AX6" i="10" s="1"/>
  <c r="R16" i="2"/>
  <c r="S60" i="2"/>
  <c r="S17" i="2"/>
  <c r="R60" i="2"/>
  <c r="R17" i="2"/>
  <c r="R56" i="2"/>
  <c r="S23" i="2"/>
  <c r="S72" i="2"/>
  <c r="S70" i="2"/>
  <c r="S22" i="2"/>
  <c r="S68" i="2"/>
  <c r="S21" i="2"/>
  <c r="S65" i="2"/>
  <c r="S63" i="2"/>
  <c r="S61" i="2"/>
  <c r="S15" i="2"/>
  <c r="S44" i="2"/>
  <c r="S58" i="2"/>
  <c r="S52" i="2"/>
  <c r="S12" i="2"/>
  <c r="S19" i="2"/>
  <c r="S57" i="2"/>
  <c r="S43" i="2"/>
  <c r="S49" i="2"/>
  <c r="S42" i="2"/>
  <c r="S18" i="2"/>
  <c r="S41" i="2"/>
  <c r="S39" i="2"/>
  <c r="S37" i="2"/>
  <c r="S36" i="2"/>
  <c r="S35" i="2"/>
  <c r="S46" i="2"/>
  <c r="S32" i="2"/>
  <c r="S7" i="2"/>
  <c r="S29" i="2"/>
  <c r="S6" i="2"/>
  <c r="S26" i="2"/>
  <c r="M18" i="2"/>
  <c r="M14" i="2"/>
  <c r="M6" i="2"/>
  <c r="M54" i="2"/>
  <c r="M26" i="2"/>
  <c r="M39" i="2"/>
  <c r="M17" i="2"/>
  <c r="M44" i="2"/>
  <c r="M47" i="2"/>
  <c r="M59" i="2"/>
  <c r="M65" i="2"/>
  <c r="M64" i="2"/>
  <c r="M61" i="2"/>
  <c r="M67" i="2"/>
  <c r="M9" i="2"/>
  <c r="M23" i="2"/>
  <c r="M31" i="2"/>
  <c r="L12" i="2"/>
  <c r="L20" i="2"/>
  <c r="L11" i="2"/>
  <c r="L51" i="2"/>
  <c r="L29" i="2"/>
  <c r="L8" i="2"/>
  <c r="L21" i="2"/>
  <c r="L37" i="2"/>
  <c r="L52" i="2"/>
  <c r="L50" i="2"/>
  <c r="L60" i="2"/>
  <c r="L58" i="2"/>
  <c r="L43" i="2"/>
  <c r="L63" i="2"/>
  <c r="L13" i="2"/>
  <c r="L36" i="2"/>
  <c r="L42" i="2"/>
  <c r="R73" i="2"/>
  <c r="R55" i="2"/>
  <c r="S54" i="2"/>
  <c r="S71" i="2"/>
  <c r="S69" i="2"/>
  <c r="S24" i="2"/>
  <c r="S67" i="2"/>
  <c r="S66" i="2"/>
  <c r="S64" i="2"/>
  <c r="S62" i="2"/>
  <c r="S53" i="2"/>
  <c r="S45" i="2"/>
  <c r="S59" i="2"/>
  <c r="S20" i="2"/>
  <c r="S14" i="2"/>
  <c r="S51" i="2"/>
  <c r="S13" i="2"/>
  <c r="S73" i="2"/>
  <c r="S16" i="2"/>
  <c r="S55" i="2"/>
  <c r="R23" i="2"/>
  <c r="R72" i="2"/>
  <c r="R70" i="2"/>
  <c r="R22" i="2"/>
  <c r="R68" i="2"/>
  <c r="R21" i="2"/>
  <c r="R65" i="2"/>
  <c r="R63" i="2"/>
  <c r="R61" i="2"/>
  <c r="R15" i="2"/>
  <c r="R44" i="2"/>
  <c r="R58" i="2"/>
  <c r="R52" i="2"/>
  <c r="R12" i="2"/>
  <c r="R19" i="2"/>
  <c r="R57" i="2"/>
  <c r="R43" i="2"/>
  <c r="R49" i="2"/>
  <c r="R42" i="2"/>
  <c r="R18" i="2"/>
  <c r="R41" i="2"/>
  <c r="R39" i="2"/>
  <c r="R37" i="2"/>
  <c r="R36" i="2"/>
  <c r="R35" i="2"/>
  <c r="R46" i="2"/>
  <c r="R32" i="2"/>
  <c r="R7" i="2"/>
  <c r="R29" i="2"/>
  <c r="R6" i="2"/>
  <c r="R26" i="2"/>
  <c r="M42" i="2"/>
  <c r="N42" i="2" s="1" a="1"/>
  <c r="N42" i="2" s="1"/>
  <c r="M12" i="2"/>
  <c r="M20" i="2"/>
  <c r="M11" i="2"/>
  <c r="M51" i="2"/>
  <c r="M29" i="2"/>
  <c r="M8" i="2"/>
  <c r="M21" i="2"/>
  <c r="M37" i="2"/>
  <c r="M52" i="2"/>
  <c r="M50" i="2"/>
  <c r="M60" i="2"/>
  <c r="M58" i="2"/>
  <c r="M43" i="2"/>
  <c r="M63" i="2"/>
  <c r="M13" i="2"/>
  <c r="M36" i="2"/>
  <c r="L46" i="2"/>
  <c r="L27" i="2"/>
  <c r="L34" i="2"/>
  <c r="L19" i="2"/>
  <c r="L16" i="2"/>
  <c r="L15" i="2"/>
  <c r="L35" i="2"/>
  <c r="L40" i="2"/>
  <c r="L56" i="2"/>
  <c r="L41" i="2"/>
  <c r="L70" i="2"/>
  <c r="L69" i="2"/>
  <c r="L62" i="2"/>
  <c r="L32" i="2"/>
  <c r="L73" i="2"/>
  <c r="L33" i="2"/>
  <c r="L45" i="2"/>
  <c r="S56" i="2"/>
  <c r="R69" i="2"/>
  <c r="R64" i="2"/>
  <c r="R59" i="2"/>
  <c r="R13" i="2"/>
  <c r="R11" i="2"/>
  <c r="R9" i="2"/>
  <c r="R40" i="2"/>
  <c r="R8" i="2"/>
  <c r="R34" i="2"/>
  <c r="R31" i="2"/>
  <c r="R28" i="2"/>
  <c r="R25" i="2"/>
  <c r="M27" i="2"/>
  <c r="M19" i="2"/>
  <c r="N19" i="2" s="1" a="1"/>
  <c r="N19" i="2" s="1"/>
  <c r="M15" i="2"/>
  <c r="M40" i="2"/>
  <c r="M41" i="2"/>
  <c r="M69" i="2"/>
  <c r="M32" i="2"/>
  <c r="M33" i="2"/>
  <c r="L55" i="2"/>
  <c r="L22" i="2"/>
  <c r="L25" i="2"/>
  <c r="L53" i="2"/>
  <c r="L30" i="2"/>
  <c r="L57" i="2"/>
  <c r="L71" i="2"/>
  <c r="L66" i="2"/>
  <c r="L24" i="2"/>
  <c r="M53" i="2"/>
  <c r="M24" i="2"/>
  <c r="L59" i="2"/>
  <c r="R24" i="2"/>
  <c r="R62" i="2"/>
  <c r="R20" i="2"/>
  <c r="S50" i="2"/>
  <c r="S10" i="2"/>
  <c r="S48" i="2"/>
  <c r="S38" i="2"/>
  <c r="S47" i="2"/>
  <c r="S33" i="2"/>
  <c r="S30" i="2"/>
  <c r="S27" i="2"/>
  <c r="M7" i="2"/>
  <c r="M10" i="2"/>
  <c r="M28" i="2"/>
  <c r="M72" i="2"/>
  <c r="M68" i="2"/>
  <c r="M49" i="2"/>
  <c r="M48" i="2"/>
  <c r="M38" i="2"/>
  <c r="L18" i="2"/>
  <c r="L6" i="2"/>
  <c r="L26" i="2"/>
  <c r="L17" i="2"/>
  <c r="L47" i="2"/>
  <c r="L65" i="2"/>
  <c r="L61" i="2"/>
  <c r="L9" i="2"/>
  <c r="L31" i="2"/>
  <c r="R66" i="2"/>
  <c r="R45" i="2"/>
  <c r="S9" i="2"/>
  <c r="S8" i="2"/>
  <c r="S31" i="2"/>
  <c r="S25" i="2"/>
  <c r="M25" i="2"/>
  <c r="M30" i="2"/>
  <c r="M66" i="2"/>
  <c r="L54" i="2"/>
  <c r="L44" i="2"/>
  <c r="L67" i="2"/>
  <c r="R54" i="2"/>
  <c r="R67" i="2"/>
  <c r="R53" i="2"/>
  <c r="R14" i="2"/>
  <c r="R50" i="2"/>
  <c r="R10" i="2"/>
  <c r="R48" i="2"/>
  <c r="R38" i="2"/>
  <c r="R47" i="2"/>
  <c r="R33" i="2"/>
  <c r="R30" i="2"/>
  <c r="R27" i="2"/>
  <c r="M46" i="2"/>
  <c r="M34" i="2"/>
  <c r="M16" i="2"/>
  <c r="M35" i="2"/>
  <c r="M56" i="2"/>
  <c r="M70" i="2"/>
  <c r="M62" i="2"/>
  <c r="M73" i="2"/>
  <c r="M45" i="2"/>
  <c r="L7" i="2"/>
  <c r="L10" i="2"/>
  <c r="L28" i="2"/>
  <c r="L72" i="2"/>
  <c r="L68" i="2"/>
  <c r="L49" i="2"/>
  <c r="L48" i="2"/>
  <c r="L38" i="2"/>
  <c r="R71" i="2"/>
  <c r="R51" i="2"/>
  <c r="S11" i="2"/>
  <c r="S40" i="2"/>
  <c r="S34" i="2"/>
  <c r="S28" i="2"/>
  <c r="T28" i="2" s="1" a="1"/>
  <c r="T28" i="2" s="1"/>
  <c r="M55" i="2"/>
  <c r="M22" i="2"/>
  <c r="M57" i="2"/>
  <c r="N57" i="2" s="1" a="1"/>
  <c r="N57" i="2" s="1"/>
  <c r="M71" i="2"/>
  <c r="N71" i="2" s="1" a="1"/>
  <c r="N71" i="2" s="1"/>
  <c r="L14" i="2"/>
  <c r="L39" i="2"/>
  <c r="L64" i="2"/>
  <c r="L23" i="2"/>
  <c r="AM11" i="10"/>
  <c r="AK14" i="10"/>
  <c r="H5" i="2"/>
  <c r="AT6" i="10" l="1"/>
  <c r="AX8" i="10"/>
  <c r="AX7" i="10"/>
  <c r="N62" i="2" a="1"/>
  <c r="N62" i="2" s="1"/>
  <c r="T8" i="2" a="1"/>
  <c r="T8" i="2" s="1"/>
  <c r="AE7" i="2"/>
  <c r="AE11" i="2"/>
  <c r="N16" i="2" a="1"/>
  <c r="N16" i="2" s="1"/>
  <c r="AE36" i="2"/>
  <c r="AE55" i="2"/>
  <c r="AE54" i="2"/>
  <c r="AE40" i="2"/>
  <c r="AE9" i="2"/>
  <c r="AE10" i="2"/>
  <c r="AE47" i="2"/>
  <c r="AE46" i="2"/>
  <c r="AE50" i="2"/>
  <c r="AE6" i="2"/>
  <c r="AE45" i="2"/>
  <c r="AE33" i="2"/>
  <c r="Z23" i="2" a="1"/>
  <c r="Z23" i="2" s="1"/>
  <c r="Z30" i="2" a="1"/>
  <c r="Z30" i="2" s="1"/>
  <c r="AE30" i="2" s="1"/>
  <c r="AD23" i="2" a="1"/>
  <c r="AD23" i="2" s="1"/>
  <c r="Z15" i="2" a="1"/>
  <c r="Z15" i="2" s="1"/>
  <c r="AD25" i="2" a="1"/>
  <c r="AD25" i="2" s="1"/>
  <c r="AE25" i="2" s="1"/>
  <c r="Z21" i="2" a="1"/>
  <c r="Z21" i="2" s="1"/>
  <c r="AE21" i="2" s="1"/>
  <c r="AD15" i="2" a="1"/>
  <c r="AD15" i="2" s="1"/>
  <c r="AD18" i="2" a="1"/>
  <c r="AD18" i="2" s="1"/>
  <c r="AE18" i="2" s="1"/>
  <c r="Z19" i="2" a="1"/>
  <c r="Z19" i="2" s="1"/>
  <c r="AD26" i="2" a="1"/>
  <c r="AD26" i="2" s="1"/>
  <c r="AE26" i="2" s="1"/>
  <c r="Z17" i="2" a="1"/>
  <c r="Z17" i="2" s="1"/>
  <c r="AE17" i="2" s="1"/>
  <c r="AD14" i="2" a="1"/>
  <c r="AD14" i="2" s="1"/>
  <c r="AD28" i="2" a="1"/>
  <c r="AD28" i="2" s="1"/>
  <c r="AE28" i="2" s="1"/>
  <c r="Z14" i="2" a="1"/>
  <c r="Z14" i="2" s="1"/>
  <c r="AD19" i="2" a="1"/>
  <c r="AD19" i="2" s="1"/>
  <c r="Z16" i="2" a="1"/>
  <c r="Z16" i="2" s="1"/>
  <c r="AE16" i="2" s="1"/>
  <c r="Z27" i="2" a="1"/>
  <c r="Z27" i="2" s="1"/>
  <c r="AE27" i="2" s="1"/>
  <c r="AD20" i="2" a="1"/>
  <c r="AD20" i="2" s="1"/>
  <c r="AE20" i="2" s="1"/>
  <c r="AE38" i="2"/>
  <c r="AE41" i="2"/>
  <c r="AE35" i="2"/>
  <c r="AE49" i="2"/>
  <c r="AE13" i="2"/>
  <c r="AE22" i="2"/>
  <c r="AE43" i="2"/>
  <c r="AE29" i="2"/>
  <c r="AE34" i="2"/>
  <c r="AE8" i="2"/>
  <c r="AE32" i="2"/>
  <c r="AE31" i="2"/>
  <c r="AE48" i="2"/>
  <c r="AE37" i="2"/>
  <c r="AE24" i="2"/>
  <c r="AE42" i="2"/>
  <c r="AE39" i="2"/>
  <c r="AE51" i="2"/>
  <c r="AE52" i="2"/>
  <c r="AE44" i="2"/>
  <c r="AE53" i="2"/>
  <c r="AD12" i="2" a="1"/>
  <c r="AD12" i="2" s="1"/>
  <c r="Z12" i="2" a="1"/>
  <c r="Z12" i="2" s="1"/>
  <c r="N55" i="2" a="1"/>
  <c r="N55" i="2" s="1"/>
  <c r="T11" i="2" a="1"/>
  <c r="T11" i="2" s="1"/>
  <c r="N35" i="2" a="1"/>
  <c r="N35" i="2" s="1"/>
  <c r="T56" i="2" a="1"/>
  <c r="T56" i="2" s="1"/>
  <c r="T9" i="2" a="1"/>
  <c r="T9" i="2" s="1"/>
  <c r="N43" i="2" a="1"/>
  <c r="N43" i="2" s="1"/>
  <c r="N52" i="2" a="1"/>
  <c r="N52" i="2" s="1"/>
  <c r="N12" i="2" a="1"/>
  <c r="N12" i="2" s="1"/>
  <c r="N24" i="2" a="1"/>
  <c r="N24" i="2" s="1"/>
  <c r="N15" i="2" a="1"/>
  <c r="N15" i="2" s="1"/>
  <c r="T34" i="2" a="1"/>
  <c r="T34" i="2" s="1"/>
  <c r="N70" i="2" a="1"/>
  <c r="N70" i="2" s="1"/>
  <c r="N34" i="2" a="1"/>
  <c r="N34" i="2" s="1"/>
  <c r="N53" i="2" a="1"/>
  <c r="N53" i="2" s="1"/>
  <c r="N36" i="2" a="1"/>
  <c r="N36" i="2" s="1"/>
  <c r="N58" i="2" a="1"/>
  <c r="N58" i="2" s="1"/>
  <c r="N37" i="2" a="1"/>
  <c r="N37" i="2" s="1"/>
  <c r="T55" i="2" a="1"/>
  <c r="T55" i="2" s="1"/>
  <c r="N13" i="2" a="1"/>
  <c r="N13" i="2" s="1"/>
  <c r="N60" i="2" a="1"/>
  <c r="N60" i="2" s="1"/>
  <c r="T16" i="2" a="1"/>
  <c r="T16" i="2" s="1"/>
  <c r="N66" i="2" a="1"/>
  <c r="N66" i="2" s="1"/>
  <c r="N25" i="2" a="1"/>
  <c r="N25" i="2" s="1"/>
  <c r="T25" i="2" a="1"/>
  <c r="T25" i="2" s="1"/>
  <c r="N41" i="2" a="1"/>
  <c r="N41" i="2" s="1"/>
  <c r="N27" i="2" a="1"/>
  <c r="N27" i="2" s="1"/>
  <c r="N21" i="2" a="1"/>
  <c r="N21" i="2" s="1"/>
  <c r="N32" i="2" a="1"/>
  <c r="N32" i="2" s="1"/>
  <c r="N69" i="2" a="1"/>
  <c r="N69" i="2" s="1"/>
  <c r="N51" i="2" a="1"/>
  <c r="N51" i="2" s="1"/>
  <c r="N11" i="2" a="1"/>
  <c r="N11" i="2" s="1"/>
  <c r="N73" i="2" a="1"/>
  <c r="N73" i="2" s="1"/>
  <c r="N29" i="2" a="1"/>
  <c r="N29" i="2" s="1"/>
  <c r="AN13" i="10"/>
  <c r="AN10" i="10" s="1"/>
  <c r="AO10" i="10" s="1"/>
  <c r="C6" i="12"/>
  <c r="N22" i="2" a="1"/>
  <c r="N22" i="2" s="1"/>
  <c r="N46" i="2" a="1"/>
  <c r="N46" i="2" s="1"/>
  <c r="T31" i="2" a="1"/>
  <c r="T31" i="2" s="1"/>
  <c r="AT9" i="10"/>
  <c r="T40" i="2" a="1"/>
  <c r="T40" i="2" s="1"/>
  <c r="N45" i="2" a="1"/>
  <c r="N45" i="2" s="1"/>
  <c r="N56" i="2" a="1"/>
  <c r="N56" i="2" s="1"/>
  <c r="AT7" i="10"/>
  <c r="N30" i="2" a="1"/>
  <c r="N30" i="2" s="1"/>
  <c r="N33" i="2" a="1"/>
  <c r="N33" i="2" s="1"/>
  <c r="N40" i="2" a="1"/>
  <c r="N40" i="2" s="1"/>
  <c r="N63" i="2" a="1"/>
  <c r="N63" i="2" s="1"/>
  <c r="N50" i="2" a="1"/>
  <c r="N50" i="2" s="1"/>
  <c r="N8" i="2" a="1"/>
  <c r="N8" i="2" s="1"/>
  <c r="N20" i="2" a="1"/>
  <c r="N20" i="2" s="1"/>
  <c r="T73" i="2" a="1"/>
  <c r="T73" i="2" s="1"/>
  <c r="N38" i="2" a="1"/>
  <c r="N38" i="2" s="1"/>
  <c r="N48" i="2" a="1"/>
  <c r="N48" i="2" s="1"/>
  <c r="N49" i="2" a="1"/>
  <c r="N49" i="2" s="1"/>
  <c r="N68" i="2" a="1"/>
  <c r="N68" i="2" s="1"/>
  <c r="N72" i="2" a="1"/>
  <c r="N72" i="2" s="1"/>
  <c r="N28" i="2" a="1"/>
  <c r="N28" i="2" s="1"/>
  <c r="N10" i="2" a="1"/>
  <c r="N10" i="2" s="1"/>
  <c r="N7" i="2" a="1"/>
  <c r="N7" i="2" s="1"/>
  <c r="T27" i="2" a="1"/>
  <c r="T27" i="2" s="1"/>
  <c r="T30" i="2" a="1"/>
  <c r="T30" i="2" s="1"/>
  <c r="T33" i="2" a="1"/>
  <c r="T33" i="2" s="1"/>
  <c r="T47" i="2" a="1"/>
  <c r="T47" i="2" s="1"/>
  <c r="T38" i="2" a="1"/>
  <c r="T38" i="2" s="1"/>
  <c r="T48" i="2" a="1"/>
  <c r="T48" i="2" s="1"/>
  <c r="T10" i="2" a="1"/>
  <c r="T10" i="2" s="1"/>
  <c r="T50" i="2" a="1"/>
  <c r="T50" i="2" s="1"/>
  <c r="T13" i="2" a="1"/>
  <c r="T13" i="2" s="1"/>
  <c r="T51" i="2" a="1"/>
  <c r="T51" i="2" s="1"/>
  <c r="T14" i="2" a="1"/>
  <c r="T14" i="2" s="1"/>
  <c r="T20" i="2" a="1"/>
  <c r="T20" i="2" s="1"/>
  <c r="T59" i="2" a="1"/>
  <c r="T59" i="2" s="1"/>
  <c r="T45" i="2" a="1"/>
  <c r="T45" i="2" s="1"/>
  <c r="T53" i="2" a="1"/>
  <c r="T53" i="2" s="1"/>
  <c r="T62" i="2" a="1"/>
  <c r="T62" i="2" s="1"/>
  <c r="T64" i="2" a="1"/>
  <c r="T64" i="2" s="1"/>
  <c r="T66" i="2" a="1"/>
  <c r="T66" i="2" s="1"/>
  <c r="T67" i="2" a="1"/>
  <c r="T67" i="2" s="1"/>
  <c r="T24" i="2" a="1"/>
  <c r="T24" i="2" s="1"/>
  <c r="T69" i="2" a="1"/>
  <c r="T69" i="2" s="1"/>
  <c r="T71" i="2" a="1"/>
  <c r="T71" i="2" s="1"/>
  <c r="T54" i="2" a="1"/>
  <c r="T54" i="2" s="1"/>
  <c r="N31" i="2" a="1"/>
  <c r="N31" i="2" s="1"/>
  <c r="N23" i="2" a="1"/>
  <c r="N23" i="2" s="1"/>
  <c r="N9" i="2" a="1"/>
  <c r="N9" i="2" s="1"/>
  <c r="N67" i="2" a="1"/>
  <c r="N67" i="2" s="1"/>
  <c r="N61" i="2" a="1"/>
  <c r="N61" i="2" s="1"/>
  <c r="N64" i="2" a="1"/>
  <c r="N64" i="2" s="1"/>
  <c r="N65" i="2" a="1"/>
  <c r="N65" i="2" s="1"/>
  <c r="N59" i="2" a="1"/>
  <c r="N59" i="2" s="1"/>
  <c r="N47" i="2" a="1"/>
  <c r="N47" i="2" s="1"/>
  <c r="N44" i="2" a="1"/>
  <c r="N44" i="2" s="1"/>
  <c r="N17" i="2" a="1"/>
  <c r="N17" i="2" s="1"/>
  <c r="N39" i="2" a="1"/>
  <c r="N39" i="2" s="1"/>
  <c r="N26" i="2" a="1"/>
  <c r="N26" i="2" s="1"/>
  <c r="N54" i="2" a="1"/>
  <c r="N54" i="2" s="1"/>
  <c r="N6" i="2" a="1"/>
  <c r="N6" i="2" s="1"/>
  <c r="N14" i="2" a="1"/>
  <c r="N14" i="2" s="1"/>
  <c r="N18" i="2" a="1"/>
  <c r="N18" i="2" s="1"/>
  <c r="T26" i="2" a="1"/>
  <c r="T26" i="2" s="1"/>
  <c r="T6" i="2" a="1"/>
  <c r="T6" i="2" s="1"/>
  <c r="T29" i="2" a="1"/>
  <c r="T29" i="2" s="1"/>
  <c r="T7" i="2" a="1"/>
  <c r="T7" i="2" s="1"/>
  <c r="T32" i="2" a="1"/>
  <c r="T32" i="2" s="1"/>
  <c r="T46" i="2" a="1"/>
  <c r="T46" i="2" s="1"/>
  <c r="T35" i="2" a="1"/>
  <c r="T35" i="2" s="1"/>
  <c r="T36" i="2" a="1"/>
  <c r="T36" i="2" s="1"/>
  <c r="T37" i="2" a="1"/>
  <c r="T37" i="2" s="1"/>
  <c r="T39" i="2" a="1"/>
  <c r="T39" i="2" s="1"/>
  <c r="T41" i="2" a="1"/>
  <c r="T41" i="2" s="1"/>
  <c r="T18" i="2" a="1"/>
  <c r="T18" i="2" s="1"/>
  <c r="T42" i="2" a="1"/>
  <c r="T42" i="2" s="1"/>
  <c r="T49" i="2" a="1"/>
  <c r="T49" i="2" s="1"/>
  <c r="T43" i="2" a="1"/>
  <c r="T43" i="2" s="1"/>
  <c r="T57" i="2" a="1"/>
  <c r="T57" i="2" s="1"/>
  <c r="T19" i="2" a="1"/>
  <c r="T19" i="2" s="1"/>
  <c r="T12" i="2" a="1"/>
  <c r="T12" i="2" s="1"/>
  <c r="T52" i="2" a="1"/>
  <c r="T52" i="2" s="1"/>
  <c r="T58" i="2" a="1"/>
  <c r="T58" i="2" s="1"/>
  <c r="T44" i="2" a="1"/>
  <c r="T44" i="2" s="1"/>
  <c r="T15" i="2" a="1"/>
  <c r="T15" i="2" s="1"/>
  <c r="T61" i="2" a="1"/>
  <c r="T61" i="2" s="1"/>
  <c r="T63" i="2" a="1"/>
  <c r="T63" i="2" s="1"/>
  <c r="T65" i="2" a="1"/>
  <c r="T65" i="2" s="1"/>
  <c r="T21" i="2" a="1"/>
  <c r="T21" i="2" s="1"/>
  <c r="T68" i="2" a="1"/>
  <c r="T68" i="2" s="1"/>
  <c r="T22" i="2" a="1"/>
  <c r="T22" i="2" s="1"/>
  <c r="T70" i="2" a="1"/>
  <c r="T70" i="2" s="1"/>
  <c r="T72" i="2" a="1"/>
  <c r="T72" i="2" s="1"/>
  <c r="T23" i="2" a="1"/>
  <c r="T23" i="2" s="1"/>
  <c r="T17" i="2" a="1"/>
  <c r="T17" i="2" s="1"/>
  <c r="T60" i="2" a="1"/>
  <c r="T60" i="2" s="1"/>
  <c r="AT10" i="10" l="1"/>
  <c r="AE12" i="2"/>
  <c r="AE23" i="2"/>
  <c r="AE14" i="2"/>
  <c r="AE15" i="2"/>
  <c r="AE19" i="2"/>
  <c r="AN8" i="10"/>
  <c r="AO8" i="10" s="1"/>
  <c r="J30" i="10"/>
  <c r="I21" i="12" s="1"/>
  <c r="AN7" i="10"/>
  <c r="AO7" i="10" s="1"/>
  <c r="AN6" i="10"/>
  <c r="AO6" i="10" s="1"/>
  <c r="AN9" i="10"/>
  <c r="AO9" i="10" s="1"/>
  <c r="AX9" i="10" s="1"/>
  <c r="AX11" i="10" s="1"/>
  <c r="AN5" i="10"/>
  <c r="AO5" i="10" l="1"/>
  <c r="AT5" i="10" s="1"/>
  <c r="AN12" i="10"/>
  <c r="AT8" i="10"/>
  <c r="AU6" i="10"/>
  <c r="AU7" i="10"/>
  <c r="J32" i="10"/>
  <c r="I23" i="12" s="1"/>
  <c r="AU9" i="10"/>
  <c r="AN11" i="10"/>
  <c r="AO11" i="10" l="1"/>
  <c r="Q32" i="10"/>
  <c r="P23" i="12" s="1"/>
  <c r="P32" i="10"/>
  <c r="O23" i="12" s="1"/>
  <c r="AT11" i="10"/>
  <c r="AV11" i="10" s="1"/>
  <c r="J31" i="10" s="1"/>
  <c r="I22" i="12" s="1"/>
  <c r="AO12" i="10"/>
  <c r="AT12" i="10"/>
  <c r="AU8" i="10"/>
  <c r="X32" i="10" l="1"/>
  <c r="W23" i="12" s="1"/>
  <c r="AU11" i="10"/>
  <c r="AE47" i="10" s="1"/>
  <c r="U32" i="10"/>
  <c r="T23" i="12" s="1"/>
  <c r="U24" i="10" l="1" a="1"/>
  <c r="U24" i="10" s="1"/>
  <c r="B28" i="12" s="1"/>
  <c r="P36" i="10"/>
  <c r="O27" i="1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Nick J O'Halloran (DEDJTR)</author>
  </authors>
  <commentList>
    <comment ref="B1" authorId="0" shapeId="0" xr:uid="{66635629-2EDE-48C4-83C0-4E95FCB91BDC}">
      <text>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Nick J O'Halloran (DEDJTR)</author>
    <author>John Paulet</author>
    <author>John Paulet (DJPR)</author>
  </authors>
  <commentList>
    <comment ref="B2" authorId="0" shapeId="0" xr:uid="{B3DF758F-E1CF-451E-8BCA-DE36C02E40A5}">
      <text>
        <r>
          <rPr>
            <sz val="9"/>
            <color indexed="81"/>
            <rFont val="Tahoma"/>
            <family val="2"/>
          </rPr>
          <t xml:space="preserve">
</t>
        </r>
      </text>
    </comment>
    <comment ref="B4" authorId="0" shapeId="0" xr:uid="{303F71F9-E935-46E7-87B6-5008B9DCC496}">
      <text>
        <r>
          <rPr>
            <sz val="9"/>
            <color indexed="81"/>
            <rFont val="Tahoma"/>
            <family val="2"/>
          </rPr>
          <t xml:space="preserve">
</t>
        </r>
      </text>
    </comment>
    <comment ref="D10" authorId="0" shapeId="0" xr:uid="{DF8B7AA5-5A06-451E-B111-A593FA0ACF25}">
      <text>
        <r>
          <rPr>
            <b/>
            <sz val="9"/>
            <color indexed="81"/>
            <rFont val="Tahoma"/>
            <family val="2"/>
          </rPr>
          <t>K value located in meter box.
Usually 40 or 1 if not stated.</t>
        </r>
      </text>
    </comment>
    <comment ref="D16" authorId="1" shapeId="0" xr:uid="{95D82940-F368-43FE-8BD3-E5E46013EA08}">
      <text>
        <r>
          <rPr>
            <b/>
            <sz val="9"/>
            <color indexed="81"/>
            <rFont val="Tahoma"/>
            <family val="2"/>
          </rPr>
          <t>Water meter reading at beginning of irrigation (or energy consumption measurement)</t>
        </r>
      </text>
    </comment>
    <comment ref="D17" authorId="1" shapeId="0" xr:uid="{9CB89C9C-C2FA-4641-88CE-EF6DD335A8DA}">
      <text>
        <r>
          <rPr>
            <b/>
            <sz val="9"/>
            <color indexed="81"/>
            <rFont val="Tahoma"/>
            <family val="2"/>
          </rPr>
          <t>Water meter reading at end of irrigation (or energy consumption measurement)</t>
        </r>
      </text>
    </comment>
    <comment ref="X18" authorId="1" shapeId="0" xr:uid="{A9466E0A-5655-47F4-8936-F23D2E9E6B66}">
      <text>
        <r>
          <rPr>
            <b/>
            <sz val="9"/>
            <color indexed="81"/>
            <rFont val="Tahoma"/>
            <family val="2"/>
          </rPr>
          <t>Ideal throw is calculated from the hydrant spacing and target overlap. It is the diameter of the wetted area.</t>
        </r>
      </text>
    </comment>
    <comment ref="D19" authorId="0" shapeId="0" xr:uid="{CE1CB914-1FF8-407B-B544-FF5298B8C7B8}">
      <text>
        <r>
          <rPr>
            <b/>
            <sz val="9"/>
            <color indexed="81"/>
            <rFont val="Tahoma"/>
            <family val="2"/>
          </rPr>
          <t xml:space="preserve">Flow rate from data above: This flow rate is calculated from your flow meter data entered above.
Flow rate from step 1: This flow rate is calculated from data in Step 1 and energy use in cell C8 above.
Flow rate from gun pressure: This flow rate is estimated from pressure at the gun and nozzle size (cell W13).
Or you can overwrite flow rate by entering data in the blue cell below
</t>
        </r>
      </text>
    </comment>
    <comment ref="X19" authorId="2" shapeId="0" xr:uid="{CF433480-6A02-4562-AF1D-782ED031B89E}">
      <text>
        <r>
          <rPr>
            <b/>
            <sz val="9"/>
            <color indexed="81"/>
            <rFont val="Tahoma"/>
            <family val="2"/>
          </rPr>
          <t>Estimated throw is based on gun type, pressure, and nozzle size. It is the diameter of the wetted area</t>
        </r>
      </text>
    </comment>
    <comment ref="D25" authorId="0" shapeId="0" xr:uid="{CB3CB6DC-E39E-4CA2-82C4-23D63CA3A908}">
      <text/>
    </comment>
    <comment ref="D26" authorId="2" shapeId="0" xr:uid="{8B232D24-8877-4361-A5CC-7F4B443A33C4}">
      <text>
        <r>
          <rPr>
            <b/>
            <sz val="9"/>
            <color indexed="81"/>
            <rFont val="Tahoma"/>
            <family val="2"/>
          </rPr>
          <t xml:space="preserve">For electric motors:
Older motors: typically 90 %
Newer motors: typically 95 %
</t>
        </r>
      </text>
    </comment>
    <comment ref="D27" authorId="0" shapeId="0" xr:uid="{9497D611-F62B-4E18-A609-F9A5264ADE70}">
      <text>
        <r>
          <rPr>
            <b/>
            <sz val="9"/>
            <color indexed="81"/>
            <rFont val="Tahoma"/>
            <family val="2"/>
          </rPr>
          <t>Range for diesel motors: 25 - 40%
     25% efficiency = 0.37 L diesel/kWh
     40% efficiency = 0.23 L diesel/kWh
Typically:
25-35 % for older or underloaded motors 
35-40 % for newer motors</t>
        </r>
      </text>
    </comment>
    <comment ref="H30" authorId="1" shapeId="0" xr:uid="{58F67737-D299-4F04-A09D-35F563E20FE2}">
      <text>
        <r>
          <rPr>
            <b/>
            <sz val="9"/>
            <color indexed="81"/>
            <rFont val="Tahoma"/>
            <family val="2"/>
          </rPr>
          <t>Pump efficiency is calculated based on energy consumption, pressure, and flow rate. It is adjusted according to motor efficiency.</t>
        </r>
      </text>
    </comment>
    <comment ref="P31" authorId="0" shapeId="0" xr:uid="{1482CC40-6F5A-43F3-AD85-5AF728ED7BD2}">
      <text>
        <r>
          <rPr>
            <b/>
            <sz val="11"/>
            <color indexed="81"/>
            <rFont val="Tahoma"/>
            <family val="2"/>
          </rPr>
          <t xml:space="preserve">
Ideally 0.5-1.5 m/100m
Note: This is a guide only. Seek professional advice and get quotes before making any upgrades to your irrigation system. 
It assumes: 
1. Average electricity cost of 20 c/kWh, (i.e. mostly off-peak).
2. Pumping for an average 1200 hour/year.
3. Pump working at 5 kWh/ML/m (i.e. reasonably efficient).
4. Assumed incremental cost difference between pipe sizes.
5. A 5-6 year payback.
</t>
        </r>
      </text>
    </comment>
    <comment ref="Q31" authorId="0" shapeId="0" xr:uid="{0F490998-B17C-4C13-A7B1-031A1F2927DF}">
      <text>
        <r>
          <rPr>
            <b/>
            <sz val="11"/>
            <color indexed="81"/>
            <rFont val="Tahoma"/>
            <family val="2"/>
          </rPr>
          <t xml:space="preserve">
Ideally 3-7 m/100m
Note: This is a guide only. Seek professional advice and get quotes before making any upgrades to your irrigation system. 
It assumes: 
1. Average electricity cost of 20 c/kWh, (i.e. mostly off-peak).
2. Pumping for an average 1200 hour/year.
3. Pump working at 5 kWh/ML/m (i.e. reasonably efficient).
4. Assumed incremental cost difference between pipe sizes.
5. A 5-6 year payback.</t>
        </r>
      </text>
    </comment>
    <comment ref="U31" authorId="0" shapeId="0" xr:uid="{D2B88832-252B-4175-8EAC-1E3624DFE98F}">
      <text>
        <r>
          <rPr>
            <b/>
            <sz val="9"/>
            <color indexed="81"/>
            <rFont val="Tahoma"/>
            <family val="2"/>
          </rPr>
          <t xml:space="preserve">
Target pressure is estimated based on hydrant spacing and overlap, gun model, and nozzle size</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Nick J O'Halloran (DEDJTR)</author>
  </authors>
  <commentList>
    <comment ref="B2" authorId="0" shapeId="0" xr:uid="{6801FC5E-26B8-4711-817D-B390C3784F35}">
      <text>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Nick J O'Halloran (DEDJTR)</author>
  </authors>
  <commentList>
    <comment ref="B2" authorId="0" shapeId="0" xr:uid="{4A0B4FAF-1B74-4431-A201-A812D60DED07}">
      <text>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<sst xmlns="http://schemas.openxmlformats.org/spreadsheetml/2006/main" count="911" uniqueCount="364">
  <si>
    <t>Energy source</t>
  </si>
  <si>
    <t>Electricity</t>
  </si>
  <si>
    <t>Water use</t>
  </si>
  <si>
    <t>Annual summary</t>
  </si>
  <si>
    <t>Have bills</t>
  </si>
  <si>
    <t>ID</t>
  </si>
  <si>
    <t>Do you have ENERGY BILLS for the irrigation pump?</t>
  </si>
  <si>
    <t>Yes</t>
  </si>
  <si>
    <t>Cost</t>
  </si>
  <si>
    <t>Usage</t>
  </si>
  <si>
    <t>Diesel</t>
  </si>
  <si>
    <t>How would you like to input your diesel use data?</t>
  </si>
  <si>
    <t>Input</t>
  </si>
  <si>
    <t>Input method</t>
  </si>
  <si>
    <t>No</t>
  </si>
  <si>
    <t>Can you estimate diesel costs and usage?</t>
  </si>
  <si>
    <t>Estimate</t>
  </si>
  <si>
    <t>Input data</t>
  </si>
  <si>
    <t>Estimate data</t>
  </si>
  <si>
    <t>Col</t>
  </si>
  <si>
    <t>Annually</t>
  </si>
  <si>
    <t>Quarterly</t>
  </si>
  <si>
    <t>Monthly</t>
  </si>
  <si>
    <t>ML</t>
  </si>
  <si>
    <t>L diesel</t>
  </si>
  <si>
    <t>Diesel consumption</t>
  </si>
  <si>
    <t>Water</t>
  </si>
  <si>
    <t>How would you like to input your electricity data?</t>
  </si>
  <si>
    <t>Annual amount</t>
  </si>
  <si>
    <t>Q1 amount</t>
  </si>
  <si>
    <t>Jan</t>
  </si>
  <si>
    <t>Go to TAB: Step 2</t>
  </si>
  <si>
    <t>kL</t>
  </si>
  <si>
    <t>kWh</t>
  </si>
  <si>
    <t>Electricity meter data</t>
  </si>
  <si>
    <t>Can you estimate electricity costs and usage?</t>
  </si>
  <si>
    <t>Q2 amount</t>
  </si>
  <si>
    <t>Feb</t>
  </si>
  <si>
    <t>Benchmarks</t>
  </si>
  <si>
    <t>Q3 amount</t>
  </si>
  <si>
    <t>Mar</t>
  </si>
  <si>
    <t>Q4 amount</t>
  </si>
  <si>
    <t>Apr</t>
  </si>
  <si>
    <t>Avg tariff rate</t>
  </si>
  <si>
    <t>May</t>
  </si>
  <si>
    <t>Pumping cost</t>
  </si>
  <si>
    <t xml:space="preserve">/ML  </t>
  </si>
  <si>
    <t>Jun</t>
  </si>
  <si>
    <t>Energy use</t>
  </si>
  <si>
    <t>Jul</t>
  </si>
  <si>
    <t>Aug</t>
  </si>
  <si>
    <t>Sept</t>
  </si>
  <si>
    <t>Oct</t>
  </si>
  <si>
    <t>Nov</t>
  </si>
  <si>
    <t>Dec</t>
  </si>
  <si>
    <t>How would you like to input your water data?</t>
  </si>
  <si>
    <t>Can you estimate water cost and usage?</t>
  </si>
  <si>
    <t xml:space="preserve">Head loss </t>
  </si>
  <si>
    <t>Improved</t>
  </si>
  <si>
    <t>Unit</t>
  </si>
  <si>
    <t>Conversion to m</t>
  </si>
  <si>
    <t>Conversion to PSI</t>
  </si>
  <si>
    <t>SYSTEM ANALYSIS</t>
  </si>
  <si>
    <t>Location</t>
  </si>
  <si>
    <t>Pressure</t>
  </si>
  <si>
    <t>Pressure (m)</t>
  </si>
  <si>
    <t>m head</t>
  </si>
  <si>
    <t>%</t>
  </si>
  <si>
    <t xml:space="preserve">Head loss (m/100m) </t>
  </si>
  <si>
    <t>Energy use (kW)</t>
  </si>
  <si>
    <t>% of energy use</t>
  </si>
  <si>
    <t>Energy use (kWh/ML or L diesel/ML)</t>
  </si>
  <si>
    <t xml:space="preserve">Annual water use (ML/yr.) </t>
  </si>
  <si>
    <t>Annual energy use (kWh/year or L diesel/yr.)</t>
  </si>
  <si>
    <t>Energy cost ($/ML)</t>
  </si>
  <si>
    <t>Annual energy costs ($/year)</t>
  </si>
  <si>
    <t>kWh/ML/m or L diesel/ML/m</t>
  </si>
  <si>
    <t>Ideal head loss (m/100m)</t>
  </si>
  <si>
    <t>Ideal HL (m)</t>
  </si>
  <si>
    <t>Annual saving ($)</t>
  </si>
  <si>
    <t>PSI</t>
  </si>
  <si>
    <t>Pump efficiency</t>
  </si>
  <si>
    <t>Suction lift</t>
  </si>
  <si>
    <t>Static head</t>
  </si>
  <si>
    <t>KPa</t>
  </si>
  <si>
    <t>&lt;</t>
  </si>
  <si>
    <t>poor</t>
  </si>
  <si>
    <t>Delivery line pressure</t>
  </si>
  <si>
    <t>Lift - pump to hydrant</t>
  </si>
  <si>
    <t>Pressure at hydrant</t>
  </si>
  <si>
    <t>Lift - pump to gun</t>
  </si>
  <si>
    <t>Pressure at gun</t>
  </si>
  <si>
    <t>Main line</t>
  </si>
  <si>
    <t>m</t>
  </si>
  <si>
    <t>good</t>
  </si>
  <si>
    <t>If no data leave blank</t>
  </si>
  <si>
    <t>Lift above pump to hydrant</t>
  </si>
  <si>
    <t>Irrigator hose</t>
  </si>
  <si>
    <t>Bar</t>
  </si>
  <si>
    <t>&gt;</t>
  </si>
  <si>
    <t>excellent</t>
  </si>
  <si>
    <t>Irrigator</t>
  </si>
  <si>
    <t>Duration</t>
  </si>
  <si>
    <t>minutes</t>
  </si>
  <si>
    <t>Lift above pump to gun</t>
  </si>
  <si>
    <t>Pump inefficiency</t>
  </si>
  <si>
    <t>L/s</t>
  </si>
  <si>
    <t>Pressure at gun or boom</t>
  </si>
  <si>
    <t>Motor inefficiency</t>
  </si>
  <si>
    <t>L/min</t>
  </si>
  <si>
    <t>TOTAL</t>
  </si>
  <si>
    <t>ML/day</t>
  </si>
  <si>
    <t>Flow meter data</t>
  </si>
  <si>
    <t>m3/hr</t>
  </si>
  <si>
    <t>Start</t>
  </si>
  <si>
    <r>
      <t xml:space="preserve">Tolerance for estimated gun throw warnings (% </t>
    </r>
    <r>
      <rPr>
        <sz val="10"/>
        <color theme="1"/>
        <rFont val="Calibri"/>
        <family val="2"/>
      </rPr>
      <t>±</t>
    </r>
    <r>
      <rPr>
        <sz val="10"/>
        <color theme="1"/>
        <rFont val="Calibri"/>
        <family val="2"/>
        <scheme val="minor"/>
      </rPr>
      <t>)</t>
    </r>
  </si>
  <si>
    <t>Measured (step 2)</t>
  </si>
  <si>
    <t>End</t>
  </si>
  <si>
    <t>Gun type</t>
  </si>
  <si>
    <t>SR100</t>
  </si>
  <si>
    <t>From Bill (step 1)</t>
  </si>
  <si>
    <t>Improved system</t>
  </si>
  <si>
    <t>Warning!! Insufficient throw for hydrant spacing! Application uniformity may be reduced!</t>
  </si>
  <si>
    <t>Nozzle size</t>
  </si>
  <si>
    <t>inches</t>
  </si>
  <si>
    <t>ML/ Ha/ yr.</t>
  </si>
  <si>
    <t>Mainline head loss</t>
  </si>
  <si>
    <t>Hydrant spacing</t>
  </si>
  <si>
    <t>Top of bad</t>
  </si>
  <si>
    <t>Energy Cost</t>
  </si>
  <si>
    <t>Mainline and hose head loss</t>
  </si>
  <si>
    <t>Warning!! Excess throw for hydrant spacing! Energy cost will be higher than necessary!</t>
  </si>
  <si>
    <t>Flow rate from step 1</t>
  </si>
  <si>
    <t>Target overlap</t>
  </si>
  <si>
    <t>Entered</t>
  </si>
  <si>
    <t>from data</t>
  </si>
  <si>
    <t>Use</t>
  </si>
  <si>
    <t>Current</t>
  </si>
  <si>
    <t>Or Input flow rate</t>
  </si>
  <si>
    <t>Estimated throw</t>
  </si>
  <si>
    <t>Water use ML/yr.</t>
  </si>
  <si>
    <t>m/100 m</t>
  </si>
  <si>
    <r>
      <rPr>
        <b/>
        <sz val="10"/>
        <color theme="1"/>
        <rFont val="Calibri"/>
        <family val="2"/>
        <scheme val="minor"/>
      </rPr>
      <t>Energy cost</t>
    </r>
    <r>
      <rPr>
        <sz val="10"/>
        <color theme="1"/>
        <rFont val="Calibri"/>
        <family val="2"/>
        <scheme val="minor"/>
      </rPr>
      <t>- from step 1</t>
    </r>
  </si>
  <si>
    <t>Flow rate (ML/day)</t>
  </si>
  <si>
    <t>Target</t>
  </si>
  <si>
    <t xml:space="preserve"> </t>
  </si>
  <si>
    <t>Or input cost</t>
  </si>
  <si>
    <t>Model</t>
  </si>
  <si>
    <r>
      <rPr>
        <b/>
        <sz val="10"/>
        <color theme="1"/>
        <rFont val="Calibri"/>
        <family val="2"/>
        <scheme val="minor"/>
      </rPr>
      <t xml:space="preserve">Water use </t>
    </r>
    <r>
      <rPr>
        <sz val="10"/>
        <color theme="1"/>
        <rFont val="Calibri"/>
        <family val="2"/>
        <scheme val="minor"/>
      </rPr>
      <t>- from step 1</t>
    </r>
  </si>
  <si>
    <t>Mainline length (pump to hydrant)</t>
  </si>
  <si>
    <t>Irrigator hose length</t>
  </si>
  <si>
    <t>Flow rate from gun pressure</t>
  </si>
  <si>
    <t>unavailable^</t>
  </si>
  <si>
    <t>Or input water use</t>
  </si>
  <si>
    <t>Diesel to kW</t>
  </si>
  <si>
    <t>Current*</t>
  </si>
  <si>
    <t>Diesel used for irrigation</t>
  </si>
  <si>
    <t>Motor size</t>
  </si>
  <si>
    <t>kW</t>
  </si>
  <si>
    <t>Motor efficiency to use</t>
  </si>
  <si>
    <t>L diesel/h</t>
  </si>
  <si>
    <t xml:space="preserve">Motor efficiency </t>
  </si>
  <si>
    <t>Pump duty point</t>
  </si>
  <si>
    <t>Mainline target</t>
  </si>
  <si>
    <t>*Warning!! Current head loss is an average from the pump to the gun!
Pressure loss is typically higher in the irrigator hose than the mainline.
Measure pressure at the hydrant to identify section(s) for improvement.</t>
  </si>
  <si>
    <t>Target throw diameter</t>
  </si>
  <si>
    <t>Hose target</t>
  </si>
  <si>
    <t>Motor load</t>
  </si>
  <si>
    <t>Flow</t>
  </si>
  <si>
    <t>Estimated throw diameter</t>
  </si>
  <si>
    <t>Target pressure</t>
  </si>
  <si>
    <t>Power</t>
  </si>
  <si>
    <t>Pressure warning category</t>
  </si>
  <si>
    <t>Saving</t>
  </si>
  <si>
    <t>COST to correct^</t>
  </si>
  <si>
    <t>Pumping costs</t>
  </si>
  <si>
    <t>Head loss</t>
  </si>
  <si>
    <t>Mainline</t>
  </si>
  <si>
    <t>Gun pressure</t>
  </si>
  <si>
    <t>Range of data model for gun (m)</t>
  </si>
  <si>
    <t>/ML</t>
  </si>
  <si>
    <t xml:space="preserve">Target </t>
  </si>
  <si>
    <t xml:space="preserve">m/100 m </t>
  </si>
  <si>
    <t>Gun pressure (psi)</t>
  </si>
  <si>
    <t>Gun within data range?</t>
  </si>
  <si>
    <t>gun model available?</t>
  </si>
  <si>
    <t>Total potential savings</t>
  </si>
  <si>
    <t>Gun model warnings</t>
  </si>
  <si>
    <t>^Note: Total potential savings are reduced because pressure at the gun should be increased to improve uniformity.</t>
  </si>
  <si>
    <t>SYSTEM CAPACITY CHECK</t>
  </si>
  <si>
    <t>Notes on system capacity</t>
  </si>
  <si>
    <t>minimum</t>
  </si>
  <si>
    <t>maximum</t>
  </si>
  <si>
    <t>text</t>
  </si>
  <si>
    <t>refers to</t>
  </si>
  <si>
    <t>Number of irrigators</t>
  </si>
  <si>
    <t>System Capacity</t>
  </si>
  <si>
    <t>mm/day</t>
  </si>
  <si>
    <t>Warning!! System capacity may be insufficient to support crop growth. Consider reducing irrigated area or increasing capacity.</t>
  </si>
  <si>
    <t>managed</t>
  </si>
  <si>
    <t>Total area irrigated</t>
  </si>
  <si>
    <t>ha</t>
  </si>
  <si>
    <t>(assumes pumping 24/7)</t>
  </si>
  <si>
    <t>Note: System capacity may be insufficient to support some crops in some climates. Consider reducing irrigated area or increasing capacity.</t>
  </si>
  <si>
    <t>Target application depth</t>
  </si>
  <si>
    <t>mm</t>
  </si>
  <si>
    <t>System capacity should be adequate, check your situation with a local irrigation expert.</t>
  </si>
  <si>
    <t>Application efficiency (assumed)</t>
  </si>
  <si>
    <t>Managed system capacity</t>
  </si>
  <si>
    <t>Warning!! System capacity is higher than typically recommended. You may experience infiltration and physical soil damage issues.</t>
  </si>
  <si>
    <t>designed</t>
  </si>
  <si>
    <t>Number of shifts or hydrants</t>
  </si>
  <si>
    <t>Time move traveller between shifts</t>
  </si>
  <si>
    <t>hrs</t>
  </si>
  <si>
    <t>Other down time</t>
  </si>
  <si>
    <t>hrs/day</t>
  </si>
  <si>
    <t>Average run time per shift</t>
  </si>
  <si>
    <t>Total run time for total area</t>
  </si>
  <si>
    <t>days</t>
  </si>
  <si>
    <t>Total time to move traveller</t>
  </si>
  <si>
    <t>Total time for total area</t>
  </si>
  <si>
    <t>PUR</t>
  </si>
  <si>
    <t>Calculate flow and throw</t>
  </si>
  <si>
    <t>endgunxnozzle</t>
  </si>
  <si>
    <t>Endgun</t>
  </si>
  <si>
    <t>Nozzle</t>
  </si>
  <si>
    <t>Min pressure</t>
  </si>
  <si>
    <t>Max pressure</t>
  </si>
  <si>
    <t>EndSpray</t>
  </si>
  <si>
    <t>R55A</t>
  </si>
  <si>
    <t>R55i VT</t>
  </si>
  <si>
    <t>R55VT</t>
  </si>
  <si>
    <t>R75</t>
  </si>
  <si>
    <t>R75LP</t>
  </si>
  <si>
    <t>SR101+</t>
  </si>
  <si>
    <t>SR150</t>
  </si>
  <si>
    <t>SR75</t>
  </si>
  <si>
    <t>Twin101Ultra</t>
  </si>
  <si>
    <t>Twin140+</t>
  </si>
  <si>
    <t>Twin140Ultra</t>
  </si>
  <si>
    <t>Twin160</t>
  </si>
  <si>
    <t>Twin202+</t>
  </si>
  <si>
    <t>Twin202Ultra</t>
  </si>
  <si>
    <t>TwinMax18</t>
  </si>
  <si>
    <t>X100-51H18</t>
  </si>
  <si>
    <t>X100-51H24</t>
  </si>
  <si>
    <t>X100-51L18</t>
  </si>
  <si>
    <t>X100-51L24</t>
  </si>
  <si>
    <t>End gun</t>
  </si>
  <si>
    <t xml:space="preserve">Flow </t>
  </si>
  <si>
    <t>Throw</t>
  </si>
  <si>
    <t>l/s</t>
  </si>
  <si>
    <t>Current Throw (m)</t>
  </si>
  <si>
    <t>none</t>
  </si>
  <si>
    <t>Trajectory angle</t>
  </si>
  <si>
    <t>Twin Max 18 deg</t>
  </si>
  <si>
    <t>Table4</t>
  </si>
  <si>
    <t>N/A</t>
  </si>
  <si>
    <t>Table5</t>
  </si>
  <si>
    <t>Table6</t>
  </si>
  <si>
    <t>Table7</t>
  </si>
  <si>
    <t>Table8</t>
  </si>
  <si>
    <t>Table9</t>
  </si>
  <si>
    <t>Table10</t>
  </si>
  <si>
    <r>
      <t>24</t>
    </r>
    <r>
      <rPr>
        <sz val="11"/>
        <color theme="1"/>
        <rFont val="Calibri"/>
        <family val="2"/>
      </rPr>
      <t>°</t>
    </r>
  </si>
  <si>
    <t>End Spray</t>
  </si>
  <si>
    <t>Table11</t>
  </si>
  <si>
    <t>24°</t>
  </si>
  <si>
    <t>Table12</t>
  </si>
  <si>
    <t>Table13</t>
  </si>
  <si>
    <t>Table14</t>
  </si>
  <si>
    <t>18°</t>
  </si>
  <si>
    <t>Table15</t>
  </si>
  <si>
    <r>
      <t>18</t>
    </r>
    <r>
      <rPr>
        <sz val="11"/>
        <color theme="1"/>
        <rFont val="Calibri"/>
        <family val="2"/>
      </rPr>
      <t>°</t>
    </r>
  </si>
  <si>
    <t>Table16</t>
  </si>
  <si>
    <t>Table17</t>
  </si>
  <si>
    <t>Table18</t>
  </si>
  <si>
    <t>Table19</t>
  </si>
  <si>
    <t>TwinMax</t>
  </si>
  <si>
    <t>Table20</t>
  </si>
  <si>
    <t>Table21</t>
  </si>
  <si>
    <t>Table22</t>
  </si>
  <si>
    <t>Calculate flow and pressure</t>
  </si>
  <si>
    <t>Table23</t>
  </si>
  <si>
    <t>Target throw</t>
  </si>
  <si>
    <t>Pressure required</t>
  </si>
  <si>
    <t>Table24</t>
  </si>
  <si>
    <t>Ideal Throw (m)</t>
  </si>
  <si>
    <t>NA</t>
  </si>
  <si>
    <t>checked</t>
  </si>
  <si>
    <t>$/ML</t>
  </si>
  <si>
    <t>Static</t>
  </si>
  <si>
    <t>Pipe + fittings</t>
  </si>
  <si>
    <t>Pump</t>
  </si>
  <si>
    <t>Motor</t>
  </si>
  <si>
    <t>smallest to largest</t>
  </si>
  <si>
    <t>kWh/ ML</t>
  </si>
  <si>
    <t>$/ML (elec)</t>
  </si>
  <si>
    <t>$/ML (diesel)</t>
  </si>
  <si>
    <t>use</t>
  </si>
  <si>
    <t>system type</t>
  </si>
  <si>
    <t>Your system</t>
  </si>
  <si>
    <t>Pivot</t>
  </si>
  <si>
    <t>Bike shift</t>
  </si>
  <si>
    <t>Bike Shift</t>
  </si>
  <si>
    <t>Drip</t>
  </si>
  <si>
    <t>K-line</t>
  </si>
  <si>
    <t>Side roll</t>
  </si>
  <si>
    <t>Micrspray</t>
  </si>
  <si>
    <t>Hard hose</t>
  </si>
  <si>
    <t>Solid set</t>
  </si>
  <si>
    <t>Lateral move</t>
  </si>
  <si>
    <t>Solid Set</t>
  </si>
  <si>
    <t>Traveller</t>
  </si>
  <si>
    <t>Hard Hose</t>
  </si>
  <si>
    <t>Hardhose</t>
  </si>
  <si>
    <t>Motor loading limit (%)</t>
  </si>
  <si>
    <t>Motor load messages</t>
  </si>
  <si>
    <t>Motor is running at &gt;50% load. Motor efficiency should be close to rating.</t>
  </si>
  <si>
    <t>BigGun200Taper</t>
  </si>
  <si>
    <t>Table2</t>
  </si>
  <si>
    <t>27°</t>
  </si>
  <si>
    <t>/year</t>
  </si>
  <si>
    <t>ML/year</t>
  </si>
  <si>
    <t>Flow rate</t>
  </si>
  <si>
    <t>Input data used</t>
  </si>
  <si>
    <t>Energy cost</t>
  </si>
  <si>
    <t>Energy consumption</t>
  </si>
  <si>
    <t>Warning!! Gun pressure outside range! Estimated throw distance may be inaccurate.</t>
  </si>
  <si>
    <t>^If the model is unavailable, try adjusting the hydrant spacing, target overlap, and/or gun type and nozzle. Model is not available for all guns.</t>
  </si>
  <si>
    <t>Ideal throw</t>
  </si>
  <si>
    <t>Savings data label</t>
  </si>
  <si>
    <t>Current system</t>
  </si>
  <si>
    <t>Motor is running at &gt;100% load. Check inputs.</t>
  </si>
  <si>
    <t>Overloaded</t>
  </si>
  <si>
    <t>Saving*</t>
  </si>
  <si>
    <t>Total head</t>
  </si>
  <si>
    <t>Variable head</t>
  </si>
  <si>
    <t>Micrsprays</t>
  </si>
  <si>
    <t>System analysis report</t>
  </si>
  <si>
    <t>Step 1 - Benchmark your energy use</t>
  </si>
  <si>
    <t>total</t>
  </si>
  <si>
    <t>Help</t>
  </si>
  <si>
    <t>Step 2 - Detailed analysis</t>
  </si>
  <si>
    <t>Help - data input</t>
  </si>
  <si>
    <t>Help - interpretation</t>
  </si>
  <si>
    <t>Motor data</t>
  </si>
  <si>
    <t>Check data</t>
  </si>
  <si>
    <t>Pump efficiency labels</t>
  </si>
  <si>
    <t>Poor</t>
  </si>
  <si>
    <t>Good</t>
  </si>
  <si>
    <t>Excellent</t>
  </si>
  <si>
    <t>Check nozzle selection</t>
  </si>
  <si>
    <t>L diesel/ML</t>
  </si>
  <si>
    <t>kWh/ML</t>
  </si>
  <si>
    <t>/L</t>
  </si>
  <si>
    <t>Flow rate from flow data above</t>
  </si>
  <si>
    <t>Head loss warning</t>
  </si>
  <si>
    <t>Warning!! there is a pressure gain in the irrigator hose. Check pressure measurments, units and lift at hydrant and gun.</t>
  </si>
  <si>
    <t>Warning!! there is a pressure gain in the mainline. Check pressure measurments, units and lift at pump and hydrant.</t>
  </si>
  <si>
    <t>Do you have WATER BILLS to get water use data?</t>
  </si>
  <si>
    <t>Alternative method of calc savings</t>
  </si>
  <si>
    <t>Meter K value</t>
  </si>
  <si>
    <t>et22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</si>
</sst>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quot;$&quot;* #,##0.00_-;_-&quot;$&quot;* &quot;-&quot;??_-;_-@_-"/>
    <numFmt numFmtId="43" formatCode="_-* #,##0.00_-;\-* #,##0.00_-;_-* &quot;-&quot;??_-;_-@_-"/>
    <numFmt numFmtId="164" formatCode="0.0"/>
    <numFmt numFmtId="165" formatCode="_-&quot;$&quot;* #,##0_-;\-&quot;$&quot;* #,##0_-;_-&quot;$&quot;* &quot;-&quot;??_-;_-@_-"/>
    <numFmt numFmtId="166" formatCode="_-* #,##0_-;\-* #,##0_-;_-* &quot;-&quot;??_-;_-@_-"/>
    <numFmt numFmtId="167" formatCode="_-* #,##0.0_-;\-* #,##0.0_-;_-* &quot;-&quot;??_-;_-@_-"/>
    <numFmt numFmtId="168" formatCode="0.000"/>
    <numFmt numFmtId="169" formatCode="0.00000"/>
    <numFmt numFmtId="170" formatCode="_-&quot;$&quot;* #,##0_-;_-&quot;$&quot;* #,##0_-;_-&quot;$&quot;* &quot;-&quot;??_-;_-@_-"/>
    <numFmt numFmtId="171" formatCode="0;m"/>
    <numFmt numFmtId="172" formatCode="_-&quot;$&quot;* #,##0;\-&quot;$&quot;* #,##0;_-&quot;$&quot;* &quot;-&quot;??;_-@_-"/>
  </numFmts>
  <fonts count="48"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12"/>
      <color theme="1"/>
      <name val="Calibri"/>
      <family val="2"/>
      <scheme val="minor"/>
    </font>
    <font>
      <b/>
      <sz val="14"/>
      <color theme="1"/>
      <name val="Calibri"/>
      <family val="2"/>
      <scheme val="minor"/>
    </font>
    <font>
      <b/>
      <sz val="16"/>
      <color theme="1"/>
      <name val="Calibri"/>
      <family val="2"/>
      <scheme val="minor"/>
    </font>
    <font>
      <sz val="11"/>
      <name val="Calibri"/>
      <family val="2"/>
      <scheme val="minor"/>
    </font>
    <font>
      <b/>
      <sz val="11"/>
      <color rgb="FFFF0000"/>
      <name val="Calibri"/>
      <family val="2"/>
      <scheme val="minor"/>
    </font>
    <font>
      <sz val="11"/>
      <color theme="4"/>
      <name val="Calibri"/>
      <family val="2"/>
      <scheme val="minor"/>
    </font>
    <font>
      <b/>
      <sz val="11"/>
      <color theme="0"/>
      <name val="Calibri"/>
      <family val="2"/>
      <scheme val="minor"/>
    </font>
    <font>
      <i/>
      <sz val="11"/>
      <color theme="1"/>
      <name val="Calibri"/>
      <family val="2"/>
      <scheme val="minor"/>
    </font>
    <font>
      <b/>
      <sz val="14"/>
      <color rgb="FFFF0000"/>
      <name val="Calibri"/>
      <family val="2"/>
      <scheme val="minor"/>
    </font>
    <font>
      <sz val="9"/>
      <color theme="1"/>
      <name val="Calibri"/>
      <family val="2"/>
      <scheme val="minor"/>
    </font>
    <font>
      <sz val="9"/>
      <color indexed="81"/>
      <name val="Tahoma"/>
      <family val="2"/>
    </font>
    <font>
      <sz val="10"/>
      <color theme="1"/>
      <name val="Calibri"/>
      <family val="2"/>
      <scheme val="minor"/>
    </font>
    <font>
      <b/>
      <sz val="10"/>
      <color theme="1"/>
      <name val="Calibri"/>
      <family val="2"/>
      <scheme val="minor"/>
    </font>
    <font>
      <sz val="10"/>
      <name val="Calibri"/>
      <family val="2"/>
      <scheme val="minor"/>
    </font>
    <font>
      <sz val="10"/>
      <color rgb="FFFF0000"/>
      <name val="Calibri"/>
      <family val="2"/>
      <scheme val="minor"/>
    </font>
    <font>
      <b/>
      <sz val="11"/>
      <name val="Calibri"/>
      <family val="2"/>
      <scheme val="minor"/>
    </font>
    <font>
      <b/>
      <sz val="14"/>
      <name val="Calibri"/>
      <family val="2"/>
      <scheme val="minor"/>
    </font>
    <font>
      <b/>
      <sz val="13"/>
      <name val="Calibri"/>
      <family val="2"/>
      <scheme val="minor"/>
    </font>
    <font>
      <b/>
      <sz val="13"/>
      <color rgb="FFFF0000"/>
      <name val="Calibri"/>
      <family val="2"/>
      <scheme val="minor"/>
    </font>
    <font>
      <sz val="13"/>
      <color theme="1"/>
      <name val="Calibri"/>
      <family val="2"/>
      <scheme val="minor"/>
    </font>
    <font>
      <sz val="14"/>
      <name val="Calibri"/>
      <family val="2"/>
      <scheme val="minor"/>
    </font>
    <font>
      <sz val="10"/>
      <color theme="0"/>
      <name val="Calibri"/>
      <family val="2"/>
      <scheme val="minor"/>
    </font>
    <font>
      <b/>
      <sz val="9"/>
      <color indexed="81"/>
      <name val="Tahoma"/>
      <family val="2"/>
    </font>
    <font>
      <b/>
      <sz val="16"/>
      <color rgb="FFFF0000"/>
      <name val="Calibri"/>
      <family val="2"/>
      <scheme val="minor"/>
    </font>
    <font>
      <b/>
      <sz val="12"/>
      <name val="Calibri"/>
      <family val="2"/>
      <scheme val="minor"/>
    </font>
    <font>
      <sz val="12"/>
      <color rgb="FFFF0000"/>
      <name val="Calibri"/>
      <family val="2"/>
      <scheme val="minor"/>
    </font>
    <font>
      <sz val="12"/>
      <color theme="1"/>
      <name val="Calibri"/>
      <family val="2"/>
      <scheme val="minor"/>
    </font>
    <font>
      <b/>
      <sz val="10"/>
      <color theme="1"/>
      <name val="Arial"/>
      <family val="2"/>
    </font>
    <font>
      <sz val="12"/>
      <color theme="1" tint="0.14999847407452621"/>
      <name val="Calibri"/>
      <family val="2"/>
      <scheme val="minor"/>
    </font>
    <font>
      <sz val="10"/>
      <name val="Arial"/>
      <family val="2"/>
    </font>
    <font>
      <sz val="11"/>
      <color theme="1" tint="4.9989318521683403E-2"/>
      <name val="Calibri"/>
      <family val="2"/>
      <scheme val="minor"/>
    </font>
    <font>
      <sz val="8"/>
      <color theme="1"/>
      <name val="Calibri"/>
      <family val="2"/>
      <scheme val="minor"/>
    </font>
    <font>
      <sz val="11"/>
      <color rgb="FF9C0006"/>
      <name val="Calibri"/>
      <family val="2"/>
      <scheme val="minor"/>
    </font>
    <font>
      <sz val="8"/>
      <name val="Calibri"/>
      <family val="2"/>
      <scheme val="minor"/>
    </font>
    <font>
      <sz val="11"/>
      <color rgb="FF000000"/>
      <name val="Calibri"/>
      <family val="2"/>
      <scheme val="minor"/>
    </font>
    <font>
      <sz val="10"/>
      <color theme="1"/>
      <name val="Calibri"/>
      <family val="2"/>
    </font>
    <font>
      <b/>
      <sz val="9"/>
      <color rgb="FF9C0006"/>
      <name val="Calibri"/>
      <family val="2"/>
      <scheme val="minor"/>
    </font>
    <font>
      <b/>
      <sz val="10"/>
      <color rgb="FF9C0006"/>
      <name val="Calibri"/>
      <family val="2"/>
      <scheme val="minor"/>
    </font>
    <font>
      <sz val="10"/>
      <name val="Arial Narrow"/>
      <family val="2"/>
    </font>
    <font>
      <sz val="10"/>
      <color theme="1" tint="0.34998626667073579"/>
      <name val="Calibri"/>
      <family val="2"/>
      <scheme val="minor"/>
    </font>
    <font>
      <b/>
      <sz val="11"/>
      <color indexed="81"/>
      <name val="Tahoma"/>
      <family val="2"/>
    </font>
    <font>
      <sz val="11"/>
      <color theme="1"/>
      <name val="Calibri"/>
      <family val="2"/>
    </font>
    <font>
      <sz val="11"/>
      <color rgb="FF006100"/>
      <name val="Calibri"/>
      <family val="2"/>
      <scheme val="minor"/>
    </font>
    <font>
      <sz val="11"/>
      <color theme="0" tint="-4.9989318521683403E-2"/>
      <name val="Calibri"/>
      <family val="2"/>
      <scheme val="minor"/>
    </font>
  </fonts>
  <fills count="22">
    <fill>
      <patternFill patternType="none"/>
    </fill>
    <fill>
      <patternFill patternType="gray125"/>
    </fill>
    <fill>
      <patternFill patternType="solid">
        <fgColor theme="7" tint="0.79998168889431442"/>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D8BEEC"/>
        <bgColor indexed="64"/>
      </patternFill>
    </fill>
    <fill>
      <patternFill patternType="solid">
        <fgColor rgb="FF00B0F0"/>
        <bgColor indexed="64"/>
      </patternFill>
    </fill>
    <fill>
      <patternFill patternType="solid">
        <fgColor theme="7" tint="0.59999389629810485"/>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8" tint="0.39997558519241921"/>
        <bgColor indexed="64"/>
      </patternFill>
    </fill>
    <fill>
      <patternFill patternType="solid">
        <fgColor theme="2" tint="-0.249977111117893"/>
        <bgColor indexed="64"/>
      </patternFill>
    </fill>
    <fill>
      <patternFill patternType="solid">
        <fgColor theme="4" tint="0.79998168889431442"/>
        <bgColor theme="4" tint="0.79998168889431442"/>
      </patternFill>
    </fill>
    <fill>
      <patternFill patternType="solid">
        <fgColor rgb="FFFFC7CE"/>
      </patternFill>
    </fill>
    <fill>
      <patternFill patternType="solid">
        <fgColor rgb="FFFFFF00"/>
        <bgColor indexed="64"/>
      </patternFill>
    </fill>
    <fill>
      <patternFill patternType="solid">
        <fgColor rgb="FFFFC000"/>
        <bgColor indexed="64"/>
      </patternFill>
    </fill>
    <fill>
      <patternFill patternType="solid">
        <fgColor theme="7" tint="0.39997558519241921"/>
        <bgColor indexed="64"/>
      </patternFill>
    </fill>
    <fill>
      <patternFill patternType="solid">
        <fgColor rgb="FFFFFFFF"/>
        <bgColor indexed="64"/>
      </patternFill>
    </fill>
    <fill>
      <patternFill patternType="solid">
        <fgColor rgb="FFC6EFCE"/>
      </patternFill>
    </fill>
    <fill>
      <patternFill patternType="solid">
        <fgColor rgb="FFFF33CC"/>
        <bgColor indexed="64"/>
      </patternFill>
    </fill>
    <fill>
      <patternFill patternType="solid">
        <fgColor theme="5" tint="0.39997558519241921"/>
        <bgColor indexed="64"/>
      </patternFill>
    </fill>
  </fills>
  <borders count="18">
    <border>
      <left/>
      <right/>
      <top/>
      <bottom/>
      <diagonal/>
    </border>
    <border>
      <left/>
      <right style="thin">
        <color indexed="64"/>
      </right>
      <top/>
      <bottom/>
      <diagonal/>
    </border>
    <border>
      <left/>
      <right/>
      <top/>
      <bottom style="thin">
        <color indexed="64"/>
      </bottom>
      <diagonal/>
    </border>
    <border>
      <left style="thin">
        <color indexed="64"/>
      </left>
      <right/>
      <top/>
      <bottom style="thin">
        <color indexed="64"/>
      </bottom>
      <diagonal/>
    </border>
    <border>
      <left style="thin">
        <color indexed="64"/>
      </left>
      <right/>
      <top/>
      <bottom/>
      <diagonal/>
    </border>
    <border>
      <left/>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theme="4" tint="0.39997558519241921"/>
      </bottom>
      <diagonal/>
    </border>
    <border>
      <left style="thin">
        <color indexed="64"/>
      </left>
      <right style="thin">
        <color indexed="64"/>
      </right>
      <top/>
      <bottom/>
      <diagonal/>
    </border>
    <border>
      <left style="double">
        <color indexed="64"/>
      </left>
      <right/>
      <top/>
      <bottom/>
      <diagonal/>
    </border>
    <border>
      <left/>
      <right style="double">
        <color indexed="64"/>
      </right>
      <top/>
      <bottom/>
      <diagonal/>
    </border>
    <border>
      <left style="double">
        <color indexed="64"/>
      </left>
      <right style="double">
        <color indexed="64"/>
      </right>
      <top style="double">
        <color indexed="64"/>
      </top>
      <bottom style="double">
        <color indexed="64"/>
      </bottom>
      <diagonal/>
    </border>
    <border>
      <left style="double">
        <color indexed="64"/>
      </left>
      <right/>
      <top style="thin">
        <color indexed="64"/>
      </top>
      <bottom style="thin">
        <color indexed="64"/>
      </bottom>
      <diagonal/>
    </border>
  </borders>
  <cellStyleXfs count="7">
    <xf numFmtId="0" fontId="0"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36" fillId="14" borderId="0" applyNumberFormat="0" applyBorder="0" applyAlignment="0" applyProtection="0"/>
    <xf numFmtId="0" fontId="42" fillId="0" borderId="0"/>
    <xf numFmtId="0" fontId="46" fillId="19" borderId="0" applyNumberFormat="0" applyBorder="0" applyAlignment="0" applyProtection="0"/>
  </cellStyleXfs>
  <cellXfs count="365">
    <xf numFmtId="0" fontId="0" fillId="0" borderId="0" xfId="0"/>
    <xf numFmtId="1" fontId="0" fillId="0" borderId="0" xfId="0" applyNumberFormat="1"/>
    <xf numFmtId="0" fontId="7" fillId="0" borderId="0" xfId="0" applyFont="1"/>
    <xf numFmtId="2" fontId="0" fillId="0" borderId="0" xfId="0" applyNumberFormat="1"/>
    <xf numFmtId="0" fontId="0" fillId="0" borderId="0" xfId="0" applyAlignment="1">
      <alignment wrapText="1"/>
    </xf>
    <xf numFmtId="0" fontId="3" fillId="0" borderId="0" xfId="0" applyFont="1"/>
    <xf numFmtId="0" fontId="9" fillId="0" borderId="0" xfId="0" applyFont="1" applyAlignment="1">
      <alignment horizontal="center"/>
    </xf>
    <xf numFmtId="0" fontId="8" fillId="0" borderId="0" xfId="0" applyFont="1" applyAlignment="1">
      <alignment horizontal="center"/>
    </xf>
    <xf numFmtId="0" fontId="31" fillId="13" borderId="12" xfId="0" applyFont="1" applyFill="1" applyBorder="1"/>
    <xf numFmtId="0" fontId="32" fillId="0" borderId="0" xfId="0" applyFont="1"/>
    <xf numFmtId="0" fontId="31" fillId="0" borderId="0" xfId="0" applyFont="1"/>
    <xf numFmtId="0" fontId="33" fillId="0" borderId="0" xfId="0" applyFont="1"/>
    <xf numFmtId="2" fontId="32" fillId="0" borderId="0" xfId="0" applyNumberFormat="1" applyFont="1"/>
    <xf numFmtId="0" fontId="31" fillId="0" borderId="12" xfId="0" applyFont="1" applyBorder="1"/>
    <xf numFmtId="0" fontId="34" fillId="0" borderId="0" xfId="0" applyFont="1"/>
    <xf numFmtId="168" fontId="34" fillId="0" borderId="0" xfId="0" applyNumberFormat="1" applyFont="1"/>
    <xf numFmtId="164" fontId="34" fillId="0" borderId="0" xfId="0" applyNumberFormat="1" applyFont="1"/>
    <xf numFmtId="2" fontId="34" fillId="0" borderId="0" xfId="0" applyNumberFormat="1" applyFont="1"/>
    <xf numFmtId="0" fontId="34" fillId="0" borderId="0" xfId="0" quotePrefix="1" applyFont="1"/>
    <xf numFmtId="0" fontId="0" fillId="0" borderId="0" xfId="0" quotePrefix="1"/>
    <xf numFmtId="0" fontId="38" fillId="0" borderId="0" xfId="0" applyFont="1"/>
    <xf numFmtId="169" fontId="0" fillId="0" borderId="0" xfId="0" applyNumberFormat="1"/>
    <xf numFmtId="165" fontId="0" fillId="5" borderId="0" xfId="1" applyNumberFormat="1" applyFont="1" applyFill="1" applyAlignment="1" applyProtection="1">
      <alignment horizontal="right"/>
      <protection locked="0"/>
    </xf>
    <xf numFmtId="0" fontId="0" fillId="11" borderId="0" xfId="0" applyFill="1" applyAlignment="1" applyProtection="1">
      <alignment horizontal="center"/>
      <protection locked="0"/>
    </xf>
    <xf numFmtId="0" fontId="0" fillId="5" borderId="5" xfId="0" applyFill="1" applyBorder="1" applyAlignment="1" applyProtection="1">
      <alignment horizontal="right"/>
      <protection locked="0"/>
    </xf>
    <xf numFmtId="0" fontId="0" fillId="5" borderId="2" xfId="0" applyFill="1" applyBorder="1" applyProtection="1">
      <protection locked="0"/>
    </xf>
    <xf numFmtId="0" fontId="0" fillId="5" borderId="3" xfId="0" applyFill="1" applyBorder="1" applyAlignment="1" applyProtection="1">
      <alignment horizontal="right"/>
      <protection locked="0"/>
    </xf>
    <xf numFmtId="0" fontId="0" fillId="11" borderId="9" xfId="0" applyFill="1" applyBorder="1" applyProtection="1">
      <protection locked="0"/>
    </xf>
    <xf numFmtId="9" fontId="30" fillId="5" borderId="0" xfId="0" applyNumberFormat="1" applyFont="1" applyFill="1" applyAlignment="1" applyProtection="1">
      <alignment horizontal="right"/>
      <protection locked="0"/>
    </xf>
    <xf numFmtId="0" fontId="30" fillId="5" borderId="0" xfId="0" applyFont="1" applyFill="1" applyProtection="1">
      <protection locked="0"/>
    </xf>
    <xf numFmtId="0" fontId="7" fillId="5" borderId="0" xfId="0" applyFont="1" applyFill="1" applyAlignment="1" applyProtection="1">
      <alignment horizontal="right"/>
      <protection locked="0"/>
    </xf>
    <xf numFmtId="0" fontId="7" fillId="5" borderId="2" xfId="0" applyFont="1" applyFill="1" applyBorder="1" applyAlignment="1" applyProtection="1">
      <alignment horizontal="right"/>
      <protection locked="0"/>
    </xf>
    <xf numFmtId="0" fontId="0" fillId="11" borderId="1" xfId="0" applyFill="1" applyBorder="1" applyProtection="1">
      <protection locked="0"/>
    </xf>
    <xf numFmtId="0" fontId="0" fillId="5" borderId="0" xfId="0" applyFill="1" applyProtection="1">
      <protection locked="0"/>
    </xf>
    <xf numFmtId="0" fontId="4" fillId="0" borderId="0" xfId="0" applyFont="1"/>
    <xf numFmtId="0" fontId="12" fillId="0" borderId="0" xfId="0" applyFont="1" applyAlignment="1">
      <alignment vertical="center"/>
    </xf>
    <xf numFmtId="166" fontId="7" fillId="5" borderId="0" xfId="3" applyNumberFormat="1" applyFont="1" applyFill="1" applyBorder="1" applyAlignment="1" applyProtection="1">
      <alignment horizontal="left" indent="1"/>
      <protection locked="0"/>
    </xf>
    <xf numFmtId="166" fontId="7" fillId="0" borderId="0" xfId="3" applyNumberFormat="1" applyFont="1" applyFill="1" applyBorder="1"/>
    <xf numFmtId="43" fontId="0" fillId="0" borderId="0" xfId="0" applyNumberFormat="1"/>
    <xf numFmtId="0" fontId="7" fillId="0" borderId="0" xfId="0" applyFont="1" applyAlignment="1">
      <alignment wrapText="1"/>
    </xf>
    <xf numFmtId="0" fontId="0" fillId="11" borderId="5" xfId="0" applyFill="1" applyBorder="1" applyAlignment="1" applyProtection="1">
      <alignment horizontal="left"/>
      <protection locked="0"/>
    </xf>
    <xf numFmtId="0" fontId="0" fillId="11" borderId="0" xfId="0" applyFill="1" applyProtection="1">
      <protection locked="0"/>
    </xf>
    <xf numFmtId="171" fontId="0" fillId="5" borderId="0" xfId="0" applyNumberFormat="1" applyFill="1" applyAlignment="1" applyProtection="1">
      <alignment horizontal="right"/>
      <protection locked="0"/>
    </xf>
    <xf numFmtId="1" fontId="46" fillId="19" borderId="2" xfId="6" applyNumberFormat="1" applyBorder="1" applyAlignment="1" applyProtection="1">
      <alignment horizontal="right"/>
    </xf>
    <xf numFmtId="9" fontId="0" fillId="3" borderId="0" xfId="2" applyFont="1" applyFill="1" applyBorder="1" applyProtection="1"/>
    <xf numFmtId="165" fontId="29" fillId="2" borderId="0" xfId="1" applyNumberFormat="1" applyFont="1" applyFill="1" applyBorder="1" applyProtection="1"/>
    <xf numFmtId="0" fontId="30" fillId="3" borderId="0" xfId="2" applyNumberFormat="1" applyFont="1" applyFill="1" applyBorder="1" applyProtection="1"/>
    <xf numFmtId="165" fontId="29" fillId="2" borderId="0" xfId="1" applyNumberFormat="1" applyFont="1" applyFill="1" applyBorder="1" applyAlignment="1" applyProtection="1">
      <alignment horizontal="right"/>
    </xf>
    <xf numFmtId="0" fontId="3" fillId="9" borderId="0" xfId="0" applyFont="1" applyFill="1"/>
    <xf numFmtId="0" fontId="0" fillId="9" borderId="0" xfId="0" applyFill="1"/>
    <xf numFmtId="0" fontId="0" fillId="5" borderId="0" xfId="0" applyFill="1" applyAlignment="1" applyProtection="1">
      <alignment vertical="center"/>
      <protection locked="0"/>
    </xf>
    <xf numFmtId="0" fontId="0" fillId="11" borderId="11" xfId="0" applyFill="1" applyBorder="1" applyAlignment="1" applyProtection="1">
      <alignment horizontal="center" vertical="center"/>
      <protection locked="0"/>
    </xf>
    <xf numFmtId="0" fontId="0" fillId="11" borderId="0" xfId="0" applyFill="1" applyAlignment="1" applyProtection="1">
      <alignment horizontal="center" vertical="center"/>
      <protection locked="0"/>
    </xf>
    <xf numFmtId="0" fontId="0" fillId="0" borderId="0" xfId="0" applyAlignment="1">
      <alignment horizontal="center"/>
    </xf>
    <xf numFmtId="0" fontId="0" fillId="5" borderId="0" xfId="0" applyFill="1" applyAlignment="1" applyProtection="1">
      <alignment horizontal="right"/>
      <protection locked="0"/>
    </xf>
    <xf numFmtId="0" fontId="3" fillId="9" borderId="0" xfId="0" applyFont="1" applyFill="1" applyAlignment="1"/>
    <xf numFmtId="0" fontId="0" fillId="0" borderId="15" xfId="0" applyBorder="1" applyProtection="1"/>
    <xf numFmtId="0" fontId="0" fillId="20" borderId="16" xfId="0" applyFill="1" applyBorder="1" applyAlignment="1" applyProtection="1">
      <alignment horizontal="center" vertical="center"/>
    </xf>
    <xf numFmtId="0" fontId="0" fillId="0" borderId="14" xfId="0" applyBorder="1" applyProtection="1"/>
    <xf numFmtId="0" fontId="0" fillId="0" borderId="0" xfId="0" applyProtection="1"/>
    <xf numFmtId="0" fontId="0" fillId="0" borderId="0" xfId="0" applyAlignment="1" applyProtection="1">
      <alignment horizontal="center"/>
    </xf>
    <xf numFmtId="0" fontId="5" fillId="0" borderId="0" xfId="0" applyFont="1" applyAlignment="1" applyProtection="1">
      <alignment horizontal="center" vertical="center"/>
    </xf>
    <xf numFmtId="0" fontId="0" fillId="0" borderId="0" xfId="0" applyAlignment="1" applyProtection="1">
      <alignment vertical="center"/>
    </xf>
    <xf numFmtId="0" fontId="0" fillId="3" borderId="0" xfId="0" applyFill="1" applyProtection="1"/>
    <xf numFmtId="0" fontId="3" fillId="3" borderId="0" xfId="0" applyFont="1" applyFill="1" applyProtection="1"/>
    <xf numFmtId="165" fontId="8" fillId="2" borderId="0" xfId="1" applyNumberFormat="1" applyFont="1" applyFill="1" applyBorder="1" applyAlignment="1" applyProtection="1">
      <alignment horizontal="right"/>
    </xf>
    <xf numFmtId="166" fontId="8" fillId="2" borderId="0" xfId="3" applyNumberFormat="1" applyFont="1" applyFill="1" applyBorder="1" applyAlignment="1" applyProtection="1">
      <alignment horizontal="right"/>
    </xf>
    <xf numFmtId="1" fontId="8" fillId="2" borderId="0" xfId="0" applyNumberFormat="1" applyFont="1" applyFill="1" applyProtection="1"/>
    <xf numFmtId="0" fontId="3" fillId="0" borderId="0" xfId="0" applyFont="1" applyProtection="1"/>
    <xf numFmtId="0" fontId="3" fillId="3" borderId="0" xfId="0" applyFont="1" applyFill="1" applyAlignment="1" applyProtection="1">
      <alignment horizontal="right"/>
    </xf>
    <xf numFmtId="0" fontId="21" fillId="3" borderId="0" xfId="0" applyFont="1" applyFill="1" applyAlignment="1" applyProtection="1">
      <alignment horizontal="left"/>
    </xf>
    <xf numFmtId="44" fontId="22" fillId="2" borderId="0" xfId="1" applyFont="1" applyFill="1" applyBorder="1" applyAlignment="1" applyProtection="1">
      <alignment horizontal="left"/>
    </xf>
    <xf numFmtId="0" fontId="23" fillId="3" borderId="0" xfId="0" applyFont="1" applyFill="1" applyProtection="1"/>
    <xf numFmtId="0" fontId="21" fillId="3" borderId="0" xfId="0" applyFont="1" applyFill="1" applyProtection="1"/>
    <xf numFmtId="165" fontId="22" fillId="2" borderId="0" xfId="1" applyNumberFormat="1" applyFont="1" applyFill="1" applyBorder="1" applyAlignment="1" applyProtection="1">
      <alignment horizontal="left"/>
    </xf>
    <xf numFmtId="166" fontId="22" fillId="2" borderId="0" xfId="0" applyNumberFormat="1" applyFont="1" applyFill="1" applyProtection="1"/>
    <xf numFmtId="165" fontId="8" fillId="3" borderId="0" xfId="1" applyNumberFormat="1" applyFont="1" applyFill="1" applyBorder="1" applyProtection="1"/>
    <xf numFmtId="0" fontId="3" fillId="3" borderId="0" xfId="0" applyFont="1" applyFill="1" applyAlignment="1" applyProtection="1">
      <alignment horizontal="right" indent="1"/>
    </xf>
    <xf numFmtId="0" fontId="0" fillId="4" borderId="0" xfId="0" applyFill="1" applyProtection="1"/>
    <xf numFmtId="0" fontId="15" fillId="0" borderId="0" xfId="0" applyFont="1" applyProtection="1"/>
    <xf numFmtId="0" fontId="0" fillId="20" borderId="17" xfId="0" applyFill="1" applyBorder="1" applyAlignment="1" applyProtection="1">
      <alignment vertical="center"/>
    </xf>
    <xf numFmtId="0" fontId="15" fillId="0" borderId="0" xfId="0" applyFont="1" applyAlignment="1" applyProtection="1">
      <alignment horizontal="center"/>
    </xf>
    <xf numFmtId="0" fontId="16" fillId="0" borderId="0" xfId="0" applyFont="1" applyAlignment="1" applyProtection="1">
      <alignment horizontal="center"/>
    </xf>
    <xf numFmtId="0" fontId="16" fillId="0" borderId="0" xfId="0" applyFont="1" applyAlignment="1" applyProtection="1">
      <alignment horizontal="left" vertical="center" wrapText="1"/>
    </xf>
    <xf numFmtId="44" fontId="13" fillId="0" borderId="0" xfId="0" applyNumberFormat="1" applyFont="1" applyAlignment="1" applyProtection="1">
      <alignment horizontal="right"/>
    </xf>
    <xf numFmtId="168" fontId="13" fillId="0" borderId="0" xfId="0" applyNumberFormat="1" applyFont="1" applyAlignment="1" applyProtection="1">
      <alignment horizontal="left"/>
    </xf>
    <xf numFmtId="0" fontId="11" fillId="4" borderId="0" xfId="0" applyFont="1" applyFill="1" applyAlignment="1" applyProtection="1">
      <alignment vertical="center" wrapText="1"/>
    </xf>
    <xf numFmtId="1" fontId="15" fillId="0" borderId="0" xfId="0" applyNumberFormat="1" applyFont="1" applyProtection="1"/>
    <xf numFmtId="1" fontId="15" fillId="0" borderId="0" xfId="0" applyNumberFormat="1" applyFont="1" applyAlignment="1" applyProtection="1">
      <alignment horizontal="right"/>
    </xf>
    <xf numFmtId="9" fontId="15" fillId="0" borderId="0" xfId="2" applyFont="1" applyFill="1" applyBorder="1" applyAlignment="1" applyProtection="1">
      <alignment horizontal="right"/>
    </xf>
    <xf numFmtId="0" fontId="15" fillId="0" borderId="0" xfId="0" applyFont="1" applyAlignment="1" applyProtection="1">
      <alignment horizontal="right"/>
    </xf>
    <xf numFmtId="164" fontId="15" fillId="0" borderId="0" xfId="0" applyNumberFormat="1" applyFont="1" applyAlignment="1" applyProtection="1">
      <alignment horizontal="right"/>
    </xf>
    <xf numFmtId="164" fontId="15" fillId="7" borderId="0" xfId="0" applyNumberFormat="1" applyFont="1" applyFill="1" applyAlignment="1" applyProtection="1">
      <alignment horizontal="right"/>
    </xf>
    <xf numFmtId="166" fontId="15" fillId="0" borderId="0" xfId="3" applyNumberFormat="1" applyFont="1" applyBorder="1" applyAlignment="1" applyProtection="1">
      <alignment horizontal="right" vertical="center"/>
    </xf>
    <xf numFmtId="172" fontId="15" fillId="6" borderId="0" xfId="1" applyNumberFormat="1" applyFont="1" applyFill="1" applyBorder="1" applyAlignment="1" applyProtection="1">
      <alignment horizontal="right"/>
    </xf>
    <xf numFmtId="2" fontId="15" fillId="0" borderId="0" xfId="0" applyNumberFormat="1" applyFont="1" applyAlignment="1" applyProtection="1">
      <alignment horizontal="right"/>
    </xf>
    <xf numFmtId="165" fontId="15" fillId="6" borderId="0" xfId="0" applyNumberFormat="1" applyFont="1" applyFill="1" applyAlignment="1" applyProtection="1">
      <alignment horizontal="right"/>
    </xf>
    <xf numFmtId="44" fontId="15" fillId="6" borderId="0" xfId="1" applyFont="1" applyFill="1" applyAlignment="1" applyProtection="1">
      <alignment horizontal="right"/>
    </xf>
    <xf numFmtId="44" fontId="13" fillId="8" borderId="0" xfId="0" applyNumberFormat="1" applyFont="1" applyFill="1" applyAlignment="1" applyProtection="1">
      <alignment horizontal="right"/>
    </xf>
    <xf numFmtId="168" fontId="13" fillId="8" borderId="0" xfId="0" applyNumberFormat="1" applyFont="1" applyFill="1" applyAlignment="1" applyProtection="1">
      <alignment horizontal="left"/>
    </xf>
    <xf numFmtId="0" fontId="0" fillId="0" borderId="0" xfId="0" applyAlignment="1" applyProtection="1">
      <alignment horizontal="right"/>
    </xf>
    <xf numFmtId="9" fontId="0" fillId="0" borderId="0" xfId="2" applyFont="1" applyProtection="1"/>
    <xf numFmtId="0" fontId="10" fillId="4" borderId="0" xfId="0" applyFont="1" applyFill="1" applyAlignment="1" applyProtection="1">
      <alignment horizontal="center"/>
    </xf>
    <xf numFmtId="0" fontId="17" fillId="0" borderId="0" xfId="0" applyFont="1" applyProtection="1"/>
    <xf numFmtId="1" fontId="17" fillId="0" borderId="0" xfId="0" applyNumberFormat="1" applyFont="1" applyAlignment="1" applyProtection="1">
      <alignment horizontal="right"/>
    </xf>
    <xf numFmtId="43" fontId="15" fillId="7" borderId="0" xfId="3" applyFont="1" applyFill="1" applyBorder="1" applyAlignment="1" applyProtection="1">
      <alignment horizontal="right"/>
    </xf>
    <xf numFmtId="165" fontId="15" fillId="6" borderId="0" xfId="1" applyNumberFormat="1" applyFont="1" applyFill="1" applyAlignment="1" applyProtection="1">
      <alignment horizontal="right"/>
    </xf>
    <xf numFmtId="1" fontId="13" fillId="8" borderId="0" xfId="0" applyNumberFormat="1" applyFont="1" applyFill="1" applyAlignment="1" applyProtection="1">
      <alignment horizontal="left"/>
    </xf>
    <xf numFmtId="0" fontId="0" fillId="3" borderId="8" xfId="0" applyFill="1" applyBorder="1" applyProtection="1"/>
    <xf numFmtId="164" fontId="13" fillId="8" borderId="0" xfId="0" applyNumberFormat="1" applyFont="1" applyFill="1" applyAlignment="1" applyProtection="1">
      <alignment horizontal="left"/>
    </xf>
    <xf numFmtId="0" fontId="0" fillId="3" borderId="1" xfId="0" applyFill="1" applyBorder="1" applyProtection="1"/>
    <xf numFmtId="0" fontId="0" fillId="3" borderId="9" xfId="0" applyFill="1" applyBorder="1" applyProtection="1"/>
    <xf numFmtId="1" fontId="0" fillId="0" borderId="0" xfId="0" applyNumberFormat="1" applyProtection="1"/>
    <xf numFmtId="164" fontId="8" fillId="2" borderId="2" xfId="0" applyNumberFormat="1" applyFont="1" applyFill="1" applyBorder="1" applyAlignment="1" applyProtection="1">
      <alignment horizontal="right"/>
    </xf>
    <xf numFmtId="2" fontId="8" fillId="2" borderId="0" xfId="0" applyNumberFormat="1" applyFont="1" applyFill="1" applyAlignment="1" applyProtection="1">
      <alignment horizontal="right"/>
    </xf>
    <xf numFmtId="0" fontId="15" fillId="0" borderId="6" xfId="0" applyFont="1" applyBorder="1" applyProtection="1"/>
    <xf numFmtId="1" fontId="15" fillId="0" borderId="6" xfId="0" applyNumberFormat="1" applyFont="1" applyBorder="1" applyAlignment="1" applyProtection="1">
      <alignment horizontal="right"/>
    </xf>
    <xf numFmtId="165" fontId="15" fillId="0" borderId="0" xfId="0" applyNumberFormat="1" applyFont="1" applyProtection="1"/>
    <xf numFmtId="0" fontId="0" fillId="15" borderId="0" xfId="0" applyFill="1" applyProtection="1"/>
    <xf numFmtId="164" fontId="15" fillId="16" borderId="0" xfId="0" applyNumberFormat="1" applyFont="1" applyFill="1" applyAlignment="1" applyProtection="1">
      <alignment horizontal="right"/>
    </xf>
    <xf numFmtId="164" fontId="18" fillId="16" borderId="0" xfId="0" applyNumberFormat="1" applyFont="1" applyFill="1" applyAlignment="1" applyProtection="1">
      <alignment horizontal="right"/>
    </xf>
    <xf numFmtId="2" fontId="18" fillId="16" borderId="0" xfId="0" applyNumberFormat="1" applyFont="1" applyFill="1" applyAlignment="1" applyProtection="1">
      <alignment horizontal="right"/>
    </xf>
    <xf numFmtId="0" fontId="0" fillId="3" borderId="7" xfId="0" applyFill="1" applyBorder="1" applyAlignment="1" applyProtection="1">
      <alignment horizontal="left"/>
    </xf>
    <xf numFmtId="0" fontId="0" fillId="3" borderId="5" xfId="0" applyFill="1" applyBorder="1" applyAlignment="1" applyProtection="1">
      <alignment horizontal="left"/>
    </xf>
    <xf numFmtId="0" fontId="0" fillId="3" borderId="8" xfId="0" applyFill="1" applyBorder="1" applyAlignment="1" applyProtection="1">
      <alignment horizontal="left"/>
    </xf>
    <xf numFmtId="166" fontId="15" fillId="0" borderId="0" xfId="0" applyNumberFormat="1" applyFont="1" applyAlignment="1" applyProtection="1">
      <alignment horizontal="right"/>
    </xf>
    <xf numFmtId="44" fontId="13" fillId="8" borderId="0" xfId="0" applyNumberFormat="1" applyFont="1" applyFill="1" applyAlignment="1" applyProtection="1">
      <alignment horizontal="left"/>
    </xf>
    <xf numFmtId="0" fontId="0" fillId="3" borderId="4" xfId="0" applyFill="1" applyBorder="1" applyAlignment="1" applyProtection="1">
      <alignment horizontal="left"/>
    </xf>
    <xf numFmtId="0" fontId="0" fillId="3" borderId="0" xfId="0" applyFill="1" applyAlignment="1" applyProtection="1">
      <alignment horizontal="left"/>
    </xf>
    <xf numFmtId="0" fontId="0" fillId="3" borderId="1" xfId="0" applyFill="1" applyBorder="1" applyAlignment="1" applyProtection="1">
      <alignment horizontal="left"/>
    </xf>
    <xf numFmtId="167" fontId="15" fillId="0" borderId="0" xfId="0" applyNumberFormat="1" applyFont="1" applyAlignment="1" applyProtection="1">
      <alignment horizontal="right"/>
    </xf>
    <xf numFmtId="0" fontId="7" fillId="0" borderId="0" xfId="0" applyFont="1" applyProtection="1"/>
    <xf numFmtId="44" fontId="15" fillId="0" borderId="0" xfId="0" applyNumberFormat="1" applyFont="1" applyProtection="1"/>
    <xf numFmtId="164" fontId="2" fillId="3" borderId="0" xfId="0" applyNumberFormat="1" applyFont="1" applyFill="1" applyAlignment="1" applyProtection="1">
      <alignment horizontal="right"/>
    </xf>
    <xf numFmtId="164" fontId="2" fillId="2" borderId="0" xfId="0" applyNumberFormat="1" applyFont="1" applyFill="1" applyAlignment="1" applyProtection="1">
      <alignment horizontal="right"/>
    </xf>
    <xf numFmtId="164" fontId="2" fillId="2" borderId="2" xfId="0" applyNumberFormat="1" applyFont="1" applyFill="1" applyBorder="1" applyAlignment="1" applyProtection="1">
      <alignment horizontal="right"/>
    </xf>
    <xf numFmtId="0" fontId="0" fillId="3" borderId="9" xfId="0" applyFill="1" applyBorder="1" applyAlignment="1" applyProtection="1">
      <alignment horizontal="left"/>
    </xf>
    <xf numFmtId="164" fontId="7" fillId="0" borderId="0" xfId="0" applyNumberFormat="1" applyFont="1" applyProtection="1"/>
    <xf numFmtId="1" fontId="8" fillId="2" borderId="0" xfId="0" applyNumberFormat="1" applyFont="1" applyFill="1" applyAlignment="1" applyProtection="1">
      <alignment horizontal="right"/>
    </xf>
    <xf numFmtId="164" fontId="0" fillId="0" borderId="0" xfId="0" applyNumberFormat="1" applyProtection="1"/>
    <xf numFmtId="164" fontId="3" fillId="18" borderId="0" xfId="0" applyNumberFormat="1" applyFont="1" applyFill="1" applyAlignment="1" applyProtection="1">
      <alignment horizontal="right"/>
    </xf>
    <xf numFmtId="164" fontId="0" fillId="4" borderId="0" xfId="0" applyNumberFormat="1" applyFill="1" applyProtection="1"/>
    <xf numFmtId="0" fontId="0" fillId="0" borderId="0" xfId="0" applyAlignment="1" applyProtection="1">
      <alignment wrapText="1"/>
    </xf>
    <xf numFmtId="2" fontId="15" fillId="0" borderId="0" xfId="0" applyNumberFormat="1" applyFont="1" applyProtection="1"/>
    <xf numFmtId="0" fontId="0" fillId="3" borderId="1" xfId="0" applyFill="1" applyBorder="1" applyAlignment="1" applyProtection="1">
      <alignment vertical="center"/>
    </xf>
    <xf numFmtId="0" fontId="3" fillId="4" borderId="0" xfId="0" applyFont="1" applyFill="1" applyProtection="1"/>
    <xf numFmtId="0" fontId="3" fillId="0" borderId="0" xfId="0" applyFont="1" applyAlignment="1" applyProtection="1">
      <alignment horizontal="left"/>
    </xf>
    <xf numFmtId="0" fontId="13" fillId="3" borderId="1" xfId="0" applyFont="1" applyFill="1" applyBorder="1" applyAlignment="1" applyProtection="1">
      <alignment vertical="center"/>
    </xf>
    <xf numFmtId="164" fontId="3" fillId="0" borderId="0" xfId="0" applyNumberFormat="1" applyFont="1" applyProtection="1"/>
    <xf numFmtId="0" fontId="3" fillId="0" borderId="0" xfId="0" applyFont="1" applyAlignment="1" applyProtection="1">
      <alignment horizontal="left" vertical="center"/>
    </xf>
    <xf numFmtId="0" fontId="35" fillId="0" borderId="0" xfId="0" applyFont="1" applyProtection="1"/>
    <xf numFmtId="1" fontId="0" fillId="4" borderId="0" xfId="0" applyNumberFormat="1" applyFill="1" applyProtection="1"/>
    <xf numFmtId="0" fontId="5" fillId="9" borderId="5" xfId="0" applyFont="1" applyFill="1" applyBorder="1" applyProtection="1"/>
    <xf numFmtId="0" fontId="5" fillId="9" borderId="5" xfId="0" applyFont="1" applyFill="1" applyBorder="1" applyAlignment="1" applyProtection="1">
      <alignment horizontal="left" indent="1"/>
    </xf>
    <xf numFmtId="0" fontId="0" fillId="9" borderId="8" xfId="0" applyFill="1" applyBorder="1" applyProtection="1"/>
    <xf numFmtId="0" fontId="28" fillId="3" borderId="4" xfId="0" applyFont="1" applyFill="1" applyBorder="1" applyProtection="1"/>
    <xf numFmtId="0" fontId="30" fillId="3" borderId="1" xfId="0" applyFont="1" applyFill="1" applyBorder="1" applyProtection="1"/>
    <xf numFmtId="0" fontId="30" fillId="0" borderId="0" xfId="0" applyFont="1" applyProtection="1"/>
    <xf numFmtId="164" fontId="29" fillId="2" borderId="0" xfId="0" applyNumberFormat="1" applyFont="1" applyFill="1" applyProtection="1"/>
    <xf numFmtId="0" fontId="4" fillId="3" borderId="4" xfId="0" applyFont="1" applyFill="1" applyBorder="1" applyProtection="1"/>
    <xf numFmtId="0" fontId="30" fillId="3" borderId="0" xfId="0" applyFont="1" applyFill="1" applyProtection="1"/>
    <xf numFmtId="164" fontId="29" fillId="2" borderId="0" xfId="0" applyNumberFormat="1" applyFont="1" applyFill="1" applyAlignment="1" applyProtection="1">
      <alignment horizontal="right"/>
    </xf>
    <xf numFmtId="0" fontId="4" fillId="3" borderId="3" xfId="0" applyFont="1" applyFill="1" applyBorder="1" applyProtection="1"/>
    <xf numFmtId="0" fontId="30" fillId="3" borderId="2" xfId="0" applyFont="1" applyFill="1" applyBorder="1" applyProtection="1"/>
    <xf numFmtId="165" fontId="29" fillId="2" borderId="2" xfId="0" applyNumberFormat="1" applyFont="1" applyFill="1" applyBorder="1" applyProtection="1"/>
    <xf numFmtId="0" fontId="30" fillId="3" borderId="9" xfId="0" applyFont="1" applyFill="1" applyBorder="1" applyProtection="1"/>
    <xf numFmtId="165" fontId="29" fillId="2" borderId="2" xfId="0" applyNumberFormat="1" applyFont="1" applyFill="1" applyBorder="1" applyAlignment="1" applyProtection="1">
      <alignment horizontal="left" indent="1"/>
    </xf>
    <xf numFmtId="170" fontId="29" fillId="2" borderId="2" xfId="0" applyNumberFormat="1" applyFont="1" applyFill="1" applyBorder="1" applyProtection="1"/>
    <xf numFmtId="0" fontId="5" fillId="0" borderId="0" xfId="0" applyFont="1" applyProtection="1"/>
    <xf numFmtId="0" fontId="2" fillId="0" borderId="0" xfId="0" applyFont="1" applyProtection="1"/>
    <xf numFmtId="0" fontId="6" fillId="3" borderId="10" xfId="0" applyFont="1" applyFill="1" applyBorder="1" applyProtection="1"/>
    <xf numFmtId="0" fontId="6" fillId="3" borderId="6" xfId="0" applyFont="1" applyFill="1" applyBorder="1" applyProtection="1"/>
    <xf numFmtId="0" fontId="6" fillId="3" borderId="6" xfId="0" applyFont="1" applyFill="1" applyBorder="1" applyAlignment="1" applyProtection="1">
      <alignment horizontal="left"/>
    </xf>
    <xf numFmtId="0" fontId="6" fillId="3" borderId="11" xfId="0" applyFont="1" applyFill="1" applyBorder="1" applyProtection="1"/>
    <xf numFmtId="0" fontId="32" fillId="0" borderId="0" xfId="0" applyFont="1" applyProtection="1"/>
    <xf numFmtId="0" fontId="3" fillId="3" borderId="7" xfId="0" applyFont="1" applyFill="1" applyBorder="1" applyAlignment="1" applyProtection="1">
      <alignment horizontal="left" indent="1"/>
    </xf>
    <xf numFmtId="0" fontId="0" fillId="3" borderId="5" xfId="0" applyFill="1" applyBorder="1" applyAlignment="1" applyProtection="1">
      <alignment horizontal="left" indent="1"/>
    </xf>
    <xf numFmtId="0" fontId="0" fillId="3" borderId="4" xfId="0" applyFill="1" applyBorder="1" applyAlignment="1" applyProtection="1">
      <alignment horizontal="left" indent="1"/>
    </xf>
    <xf numFmtId="164" fontId="8" fillId="2" borderId="0" xfId="0" applyNumberFormat="1" applyFont="1" applyFill="1" applyAlignment="1" applyProtection="1">
      <alignment horizontal="right"/>
    </xf>
    <xf numFmtId="0" fontId="7" fillId="4" borderId="0" xfId="0" applyFont="1" applyFill="1" applyAlignment="1" applyProtection="1">
      <alignment horizontal="left"/>
    </xf>
    <xf numFmtId="0" fontId="0" fillId="3" borderId="3" xfId="0" applyFill="1" applyBorder="1" applyAlignment="1" applyProtection="1">
      <alignment horizontal="left" indent="1"/>
    </xf>
    <xf numFmtId="2" fontId="2" fillId="0" borderId="0" xfId="0" applyNumberFormat="1" applyFont="1" applyAlignment="1" applyProtection="1">
      <alignment horizontal="center"/>
    </xf>
    <xf numFmtId="0" fontId="7" fillId="0" borderId="0" xfId="0" applyFont="1" applyAlignment="1" applyProtection="1">
      <alignment horizontal="left"/>
    </xf>
    <xf numFmtId="0" fontId="4" fillId="0" borderId="0" xfId="0" applyFont="1" applyAlignment="1" applyProtection="1">
      <alignment horizontal="left" vertical="center"/>
    </xf>
    <xf numFmtId="164" fontId="0" fillId="0" borderId="0" xfId="0" applyNumberFormat="1" applyAlignment="1" applyProtection="1">
      <alignment horizontal="center"/>
    </xf>
    <xf numFmtId="166" fontId="0" fillId="0" borderId="0" xfId="0" applyNumberFormat="1" applyProtection="1"/>
    <xf numFmtId="167" fontId="0" fillId="0" borderId="0" xfId="0" applyNumberFormat="1" applyProtection="1"/>
    <xf numFmtId="0" fontId="0" fillId="3" borderId="7" xfId="0" applyFill="1" applyBorder="1" applyAlignment="1" applyProtection="1">
      <alignment horizontal="left" indent="1"/>
    </xf>
    <xf numFmtId="0" fontId="0" fillId="3" borderId="5" xfId="0" applyFill="1" applyBorder="1" applyProtection="1"/>
    <xf numFmtId="0" fontId="2" fillId="2" borderId="0" xfId="0" applyFont="1" applyFill="1" applyAlignment="1" applyProtection="1">
      <alignment horizontal="right"/>
    </xf>
    <xf numFmtId="0" fontId="7" fillId="3" borderId="4" xfId="0" applyFont="1" applyFill="1" applyBorder="1" applyAlignment="1" applyProtection="1">
      <alignment horizontal="left" indent="1"/>
    </xf>
    <xf numFmtId="0" fontId="7" fillId="3" borderId="0" xfId="0" applyFont="1" applyFill="1" applyProtection="1"/>
    <xf numFmtId="0" fontId="7" fillId="3" borderId="1" xfId="0" applyFont="1" applyFill="1" applyBorder="1" applyAlignment="1" applyProtection="1">
      <alignment horizontal="left"/>
    </xf>
    <xf numFmtId="0" fontId="7" fillId="3" borderId="3" xfId="0" applyFont="1" applyFill="1" applyBorder="1" applyAlignment="1" applyProtection="1">
      <alignment horizontal="left" indent="1"/>
    </xf>
    <xf numFmtId="0" fontId="0" fillId="3" borderId="2" xfId="0" applyFill="1" applyBorder="1" applyProtection="1"/>
    <xf numFmtId="0" fontId="7" fillId="3" borderId="9" xfId="0" applyFont="1" applyFill="1" applyBorder="1" applyAlignment="1" applyProtection="1">
      <alignment horizontal="left"/>
    </xf>
    <xf numFmtId="164" fontId="2" fillId="2" borderId="5" xfId="0" applyNumberFormat="1" applyFont="1" applyFill="1" applyBorder="1" applyAlignment="1" applyProtection="1">
      <alignment horizontal="right"/>
    </xf>
    <xf numFmtId="0" fontId="7" fillId="3" borderId="8" xfId="0" applyFont="1" applyFill="1" applyBorder="1" applyAlignment="1" applyProtection="1">
      <alignment horizontal="left"/>
    </xf>
    <xf numFmtId="1" fontId="2" fillId="2" borderId="0" xfId="0" applyNumberFormat="1" applyFont="1" applyFill="1" applyAlignment="1" applyProtection="1">
      <alignment horizontal="right"/>
    </xf>
    <xf numFmtId="2" fontId="2" fillId="2" borderId="2" xfId="0" applyNumberFormat="1" applyFont="1" applyFill="1" applyBorder="1" applyAlignment="1" applyProtection="1">
      <alignment horizontal="right"/>
    </xf>
    <xf numFmtId="0" fontId="11" fillId="0" borderId="0" xfId="0" applyFont="1" applyAlignment="1" applyProtection="1">
      <alignment vertical="center" wrapText="1"/>
    </xf>
    <xf numFmtId="0" fontId="4" fillId="9" borderId="7" xfId="0" applyFont="1" applyFill="1" applyBorder="1" applyAlignment="1" applyProtection="1">
      <alignment horizontal="left"/>
    </xf>
    <xf numFmtId="0" fontId="4" fillId="9" borderId="5" xfId="0" applyFont="1" applyFill="1" applyBorder="1" applyAlignment="1" applyProtection="1">
      <alignment horizontal="left"/>
    </xf>
    <xf numFmtId="0" fontId="4" fillId="9" borderId="8" xfId="0" applyFont="1" applyFill="1" applyBorder="1" applyAlignment="1" applyProtection="1">
      <alignment horizontal="left"/>
    </xf>
    <xf numFmtId="0" fontId="10" fillId="0" borderId="0" xfId="0" applyFont="1" applyAlignment="1" applyProtection="1">
      <alignment horizontal="center"/>
    </xf>
    <xf numFmtId="164" fontId="2" fillId="2" borderId="5" xfId="0" applyNumberFormat="1" applyFont="1" applyFill="1" applyBorder="1" applyProtection="1"/>
    <xf numFmtId="164" fontId="2" fillId="2" borderId="0" xfId="0" applyNumberFormat="1" applyFont="1" applyFill="1" applyProtection="1"/>
    <xf numFmtId="164" fontId="2" fillId="2" borderId="3" xfId="0" applyNumberFormat="1" applyFont="1" applyFill="1" applyBorder="1" applyProtection="1"/>
    <xf numFmtId="0" fontId="0" fillId="3" borderId="4" xfId="0" applyFill="1" applyBorder="1" applyAlignment="1" applyProtection="1">
      <alignment horizontal="left" wrapText="1" indent="1"/>
    </xf>
    <xf numFmtId="0" fontId="4" fillId="9" borderId="10" xfId="0" applyFont="1" applyFill="1" applyBorder="1" applyAlignment="1" applyProtection="1">
      <alignment horizontal="left"/>
    </xf>
    <xf numFmtId="0" fontId="4" fillId="9" borderId="6" xfId="0" applyFont="1" applyFill="1" applyBorder="1" applyAlignment="1" applyProtection="1">
      <alignment horizontal="left"/>
    </xf>
    <xf numFmtId="0" fontId="4" fillId="9" borderId="11" xfId="0" applyFont="1" applyFill="1" applyBorder="1" applyAlignment="1" applyProtection="1">
      <alignment horizontal="left"/>
    </xf>
    <xf numFmtId="164" fontId="2" fillId="2" borderId="2" xfId="0" applyNumberFormat="1" applyFont="1" applyFill="1" applyBorder="1" applyProtection="1"/>
    <xf numFmtId="0" fontId="3" fillId="0" borderId="0" xfId="0" applyFont="1" applyAlignment="1" applyProtection="1">
      <alignment wrapText="1"/>
    </xf>
    <xf numFmtId="0" fontId="5" fillId="12" borderId="5" xfId="0" applyFont="1" applyFill="1" applyBorder="1" applyProtection="1"/>
    <xf numFmtId="0" fontId="5" fillId="12" borderId="5" xfId="0" applyFont="1" applyFill="1" applyBorder="1" applyAlignment="1" applyProtection="1">
      <alignment horizontal="left" indent="1"/>
    </xf>
    <xf numFmtId="0" fontId="0" fillId="0" borderId="13" xfId="0" applyBorder="1" applyProtection="1"/>
    <xf numFmtId="164" fontId="15" fillId="0" borderId="6" xfId="0" applyNumberFormat="1" applyFont="1" applyBorder="1" applyAlignment="1" applyProtection="1">
      <alignment horizontal="right"/>
    </xf>
    <xf numFmtId="9" fontId="15" fillId="0" borderId="6" xfId="0" applyNumberFormat="1" applyFont="1" applyBorder="1" applyAlignment="1" applyProtection="1">
      <alignment horizontal="right"/>
    </xf>
    <xf numFmtId="164" fontId="15" fillId="7" borderId="6" xfId="0" applyNumberFormat="1" applyFont="1" applyFill="1" applyBorder="1" applyAlignment="1" applyProtection="1">
      <alignment horizontal="right"/>
    </xf>
    <xf numFmtId="167" fontId="15" fillId="0" borderId="0" xfId="3" applyNumberFormat="1" applyFont="1" applyAlignment="1" applyProtection="1">
      <alignment horizontal="right"/>
    </xf>
    <xf numFmtId="9" fontId="15" fillId="0" borderId="0" xfId="2" applyFont="1" applyAlignment="1" applyProtection="1">
      <alignment horizontal="right"/>
    </xf>
    <xf numFmtId="166" fontId="15" fillId="0" borderId="0" xfId="3" applyNumberFormat="1" applyFont="1" applyAlignment="1" applyProtection="1">
      <alignment horizontal="right"/>
    </xf>
    <xf numFmtId="164" fontId="35" fillId="0" borderId="0" xfId="0" applyNumberFormat="1" applyFont="1" applyAlignment="1" applyProtection="1">
      <alignment horizontal="right" vertical="top" wrapText="1"/>
    </xf>
    <xf numFmtId="0" fontId="35" fillId="0" borderId="0" xfId="0" applyFont="1" applyAlignment="1" applyProtection="1">
      <alignment horizontal="right" vertical="top" wrapText="1"/>
    </xf>
    <xf numFmtId="1" fontId="17" fillId="0" borderId="6" xfId="0" applyNumberFormat="1" applyFont="1" applyBorder="1" applyAlignment="1" applyProtection="1">
      <alignment horizontal="right"/>
    </xf>
    <xf numFmtId="0" fontId="15" fillId="0" borderId="6" xfId="0" applyFont="1" applyBorder="1" applyAlignment="1" applyProtection="1">
      <alignment horizontal="right"/>
    </xf>
    <xf numFmtId="166" fontId="15" fillId="0" borderId="6" xfId="0" applyNumberFormat="1" applyFont="1" applyBorder="1" applyAlignment="1" applyProtection="1">
      <alignment horizontal="right" vertical="center"/>
    </xf>
    <xf numFmtId="2" fontId="15" fillId="0" borderId="6" xfId="0" applyNumberFormat="1" applyFont="1" applyBorder="1" applyAlignment="1" applyProtection="1">
      <alignment horizontal="right"/>
    </xf>
    <xf numFmtId="43" fontId="15" fillId="7" borderId="6" xfId="3" applyFont="1" applyFill="1" applyBorder="1" applyAlignment="1" applyProtection="1">
      <alignment horizontal="right"/>
    </xf>
    <xf numFmtId="165" fontId="15" fillId="6" borderId="6" xfId="0" applyNumberFormat="1" applyFont="1" applyFill="1" applyBorder="1" applyAlignment="1" applyProtection="1">
      <alignment horizontal="right"/>
    </xf>
    <xf numFmtId="44" fontId="15" fillId="6" borderId="6" xfId="1" applyFont="1" applyFill="1" applyBorder="1" applyAlignment="1" applyProtection="1">
      <alignment horizontal="right"/>
    </xf>
    <xf numFmtId="165" fontId="15" fillId="0" borderId="6" xfId="0" applyNumberFormat="1" applyFont="1" applyBorder="1" applyAlignment="1" applyProtection="1">
      <alignment horizontal="right"/>
    </xf>
    <xf numFmtId="43" fontId="15" fillId="0" borderId="6" xfId="3" applyFont="1" applyFill="1" applyBorder="1" applyAlignment="1" applyProtection="1">
      <alignment horizontal="right"/>
    </xf>
    <xf numFmtId="165" fontId="15" fillId="0" borderId="0" xfId="0" applyNumberFormat="1" applyFont="1" applyAlignment="1" applyProtection="1">
      <alignment horizontal="right"/>
    </xf>
    <xf numFmtId="1" fontId="15" fillId="17" borderId="0" xfId="0" applyNumberFormat="1" applyFont="1" applyFill="1" applyAlignment="1" applyProtection="1">
      <alignment horizontal="right"/>
    </xf>
    <xf numFmtId="43" fontId="15" fillId="16" borderId="0" xfId="0" applyNumberFormat="1" applyFont="1" applyFill="1" applyAlignment="1" applyProtection="1">
      <alignment horizontal="right"/>
    </xf>
    <xf numFmtId="43" fontId="15" fillId="0" borderId="0" xfId="3" applyNumberFormat="1" applyFont="1" applyAlignment="1" applyProtection="1">
      <alignment horizontal="right"/>
    </xf>
    <xf numFmtId="0" fontId="16" fillId="21" borderId="0" xfId="0" applyFont="1" applyFill="1" applyAlignment="1" applyProtection="1">
      <alignment horizontal="center"/>
    </xf>
    <xf numFmtId="0" fontId="35" fillId="21" borderId="0" xfId="0" applyFont="1" applyFill="1" applyAlignment="1" applyProtection="1">
      <alignment horizontal="right" vertical="top" wrapText="1"/>
    </xf>
    <xf numFmtId="164" fontId="15" fillId="21" borderId="0" xfId="0" applyNumberFormat="1" applyFont="1" applyFill="1" applyAlignment="1" applyProtection="1">
      <alignment horizontal="right"/>
    </xf>
    <xf numFmtId="43" fontId="15" fillId="21" borderId="0" xfId="3" applyFont="1" applyFill="1" applyBorder="1" applyAlignment="1" applyProtection="1">
      <alignment horizontal="right"/>
    </xf>
    <xf numFmtId="43" fontId="15" fillId="21" borderId="6" xfId="3" applyFont="1" applyFill="1" applyBorder="1" applyAlignment="1" applyProtection="1">
      <alignment horizontal="right"/>
    </xf>
    <xf numFmtId="0" fontId="15" fillId="21" borderId="0" xfId="0" applyFont="1" applyFill="1" applyAlignment="1" applyProtection="1">
      <alignment horizontal="right"/>
    </xf>
    <xf numFmtId="43" fontId="15" fillId="21" borderId="0" xfId="0" applyNumberFormat="1" applyFont="1" applyFill="1" applyAlignment="1" applyProtection="1">
      <alignment horizontal="right"/>
    </xf>
    <xf numFmtId="0" fontId="15" fillId="21" borderId="0" xfId="0" applyFont="1" applyFill="1" applyProtection="1"/>
    <xf numFmtId="0" fontId="0" fillId="21" borderId="0" xfId="0" applyFill="1" applyProtection="1"/>
    <xf numFmtId="0" fontId="16" fillId="0" borderId="0" xfId="0" applyFont="1" applyAlignment="1" applyProtection="1"/>
    <xf numFmtId="0" fontId="3" fillId="3" borderId="0" xfId="0" applyFont="1" applyFill="1" applyAlignment="1">
      <alignment horizontal="left" indent="1"/>
    </xf>
    <xf numFmtId="0" fontId="0" fillId="3" borderId="1" xfId="3" applyNumberFormat="1" applyFont="1" applyFill="1" applyBorder="1" applyAlignment="1" applyProtection="1">
      <alignment horizontal="left"/>
    </xf>
    <xf numFmtId="0" fontId="0" fillId="3" borderId="4" xfId="0" applyFont="1" applyFill="1" applyBorder="1" applyAlignment="1">
      <alignment horizontal="left"/>
    </xf>
    <xf numFmtId="0" fontId="47" fillId="0" borderId="0" xfId="0" applyFont="1"/>
    <xf numFmtId="0" fontId="0" fillId="11" borderId="0" xfId="0" applyFill="1" applyAlignment="1" applyProtection="1">
      <alignment horizontal="center" vertical="center"/>
      <protection locked="0"/>
    </xf>
    <xf numFmtId="0" fontId="5" fillId="10" borderId="0" xfId="0" applyFont="1" applyFill="1" applyAlignment="1" applyProtection="1">
      <alignment horizontal="center" vertical="center"/>
    </xf>
    <xf numFmtId="0" fontId="0" fillId="0" borderId="0" xfId="0" applyAlignment="1" applyProtection="1">
      <alignment horizontal="center"/>
    </xf>
    <xf numFmtId="0" fontId="19" fillId="3" borderId="0" xfId="0" applyFont="1" applyFill="1" applyAlignment="1" applyProtection="1">
      <alignment horizontal="center" wrapText="1"/>
    </xf>
    <xf numFmtId="0" fontId="19" fillId="3" borderId="0" xfId="0" applyFont="1" applyFill="1" applyAlignment="1" applyProtection="1">
      <alignment horizontal="center" vertical="center" wrapText="1"/>
    </xf>
    <xf numFmtId="0" fontId="0" fillId="5" borderId="0" xfId="0" applyFill="1" applyAlignment="1" applyProtection="1">
      <alignment horizontal="center"/>
      <protection locked="0"/>
    </xf>
    <xf numFmtId="0" fontId="3" fillId="3" borderId="0" xfId="0" applyFont="1" applyFill="1" applyAlignment="1" applyProtection="1">
      <alignment horizontal="right" indent="1"/>
    </xf>
    <xf numFmtId="0" fontId="3" fillId="3" borderId="4" xfId="0" applyFont="1" applyFill="1" applyBorder="1" applyAlignment="1" applyProtection="1">
      <alignment horizontal="left" wrapText="1"/>
    </xf>
    <xf numFmtId="0" fontId="3" fillId="3" borderId="0" xfId="0" applyFont="1" applyFill="1" applyAlignment="1" applyProtection="1">
      <alignment horizontal="left" wrapText="1"/>
    </xf>
    <xf numFmtId="0" fontId="0" fillId="3" borderId="4" xfId="0" applyFill="1" applyBorder="1" applyAlignment="1" applyProtection="1">
      <alignment horizontal="left" wrapText="1"/>
    </xf>
    <xf numFmtId="0" fontId="0" fillId="3" borderId="0" xfId="0" applyFill="1" applyAlignment="1" applyProtection="1">
      <alignment horizontal="left" wrapText="1"/>
    </xf>
    <xf numFmtId="0" fontId="0" fillId="3" borderId="3" xfId="0" applyFill="1" applyBorder="1" applyAlignment="1" applyProtection="1">
      <alignment horizontal="left"/>
    </xf>
    <xf numFmtId="0" fontId="0" fillId="3" borderId="2" xfId="0" applyFill="1" applyBorder="1" applyAlignment="1" applyProtection="1">
      <alignment horizontal="left"/>
    </xf>
    <xf numFmtId="0" fontId="15" fillId="3" borderId="4" xfId="0" applyFont="1" applyFill="1" applyBorder="1" applyAlignment="1" applyProtection="1">
      <alignment horizontal="left"/>
    </xf>
    <xf numFmtId="0" fontId="15" fillId="3" borderId="0" xfId="0" applyFont="1" applyFill="1" applyAlignment="1" applyProtection="1">
      <alignment horizontal="left"/>
    </xf>
    <xf numFmtId="0" fontId="4" fillId="9" borderId="7" xfId="0" applyFont="1" applyFill="1" applyBorder="1" applyAlignment="1" applyProtection="1">
      <alignment horizontal="left"/>
    </xf>
    <xf numFmtId="0" fontId="4" fillId="9" borderId="5" xfId="0" applyFont="1" applyFill="1" applyBorder="1" applyAlignment="1" applyProtection="1">
      <alignment horizontal="left"/>
    </xf>
    <xf numFmtId="0" fontId="4" fillId="9" borderId="8" xfId="0" applyFont="1" applyFill="1" applyBorder="1" applyAlignment="1" applyProtection="1">
      <alignment horizontal="left"/>
    </xf>
    <xf numFmtId="0" fontId="0" fillId="3" borderId="4" xfId="0" applyFill="1" applyBorder="1" applyAlignment="1" applyProtection="1">
      <alignment horizontal="left"/>
    </xf>
    <xf numFmtId="0" fontId="0" fillId="3" borderId="0" xfId="0" applyFill="1" applyAlignment="1" applyProtection="1">
      <alignment horizontal="left"/>
    </xf>
    <xf numFmtId="0" fontId="4" fillId="9" borderId="10" xfId="0" applyFont="1" applyFill="1" applyBorder="1" applyAlignment="1" applyProtection="1">
      <alignment horizontal="left" vertical="center"/>
    </xf>
    <xf numFmtId="0" fontId="4" fillId="9" borderId="6" xfId="0" applyFont="1" applyFill="1" applyBorder="1" applyAlignment="1" applyProtection="1">
      <alignment horizontal="left" vertical="center"/>
    </xf>
    <xf numFmtId="0" fontId="0" fillId="3" borderId="7" xfId="0" applyFill="1" applyBorder="1" applyAlignment="1" applyProtection="1">
      <alignment horizontal="left" wrapText="1"/>
    </xf>
    <xf numFmtId="0" fontId="0" fillId="3" borderId="5" xfId="0" applyFill="1" applyBorder="1" applyAlignment="1" applyProtection="1">
      <alignment horizontal="left" wrapText="1"/>
    </xf>
    <xf numFmtId="0" fontId="3" fillId="3" borderId="7" xfId="0" applyFont="1" applyFill="1" applyBorder="1" applyAlignment="1" applyProtection="1">
      <alignment horizontal="center" vertical="top" wrapText="1"/>
    </xf>
    <xf numFmtId="0" fontId="3" fillId="3" borderId="8" xfId="0" applyFont="1" applyFill="1" applyBorder="1" applyAlignment="1" applyProtection="1">
      <alignment horizontal="center" vertical="top" wrapText="1"/>
    </xf>
    <xf numFmtId="0" fontId="3" fillId="3" borderId="4" xfId="0" applyFont="1" applyFill="1" applyBorder="1" applyAlignment="1" applyProtection="1">
      <alignment horizontal="center" vertical="top" wrapText="1"/>
    </xf>
    <xf numFmtId="0" fontId="3" fillId="3" borderId="1" xfId="0" applyFont="1" applyFill="1" applyBorder="1" applyAlignment="1" applyProtection="1">
      <alignment horizontal="center" vertical="top" wrapText="1"/>
    </xf>
    <xf numFmtId="0" fontId="41" fillId="14" borderId="0" xfId="4" applyFont="1" applyBorder="1" applyAlignment="1" applyProtection="1">
      <alignment horizontal="left" vertical="top" wrapText="1"/>
    </xf>
    <xf numFmtId="0" fontId="41" fillId="14" borderId="2" xfId="4" applyFont="1" applyBorder="1" applyAlignment="1" applyProtection="1">
      <alignment horizontal="left" vertical="top" wrapText="1"/>
    </xf>
    <xf numFmtId="0" fontId="6" fillId="9" borderId="0" xfId="0" applyFont="1" applyFill="1" applyAlignment="1" applyProtection="1">
      <alignment horizontal="center" vertical="center"/>
    </xf>
    <xf numFmtId="0" fontId="4" fillId="9" borderId="10" xfId="0" applyFont="1" applyFill="1" applyBorder="1" applyAlignment="1" applyProtection="1">
      <alignment horizontal="left"/>
    </xf>
    <xf numFmtId="0" fontId="4" fillId="9" borderId="6" xfId="0" applyFont="1" applyFill="1" applyBorder="1" applyAlignment="1" applyProtection="1">
      <alignment horizontal="left"/>
    </xf>
    <xf numFmtId="0" fontId="4" fillId="9" borderId="11" xfId="0" applyFont="1" applyFill="1" applyBorder="1" applyAlignment="1" applyProtection="1">
      <alignment horizontal="left"/>
    </xf>
    <xf numFmtId="0" fontId="0" fillId="3" borderId="7" xfId="0" applyFill="1" applyBorder="1" applyAlignment="1" applyProtection="1">
      <alignment horizontal="left"/>
    </xf>
    <xf numFmtId="0" fontId="0" fillId="3" borderId="5" xfId="0" applyFill="1" applyBorder="1" applyAlignment="1" applyProtection="1">
      <alignment horizontal="left"/>
    </xf>
    <xf numFmtId="0" fontId="13" fillId="11" borderId="4" xfId="0" applyFont="1" applyFill="1" applyBorder="1" applyAlignment="1" applyProtection="1">
      <alignment horizontal="left"/>
      <protection locked="0"/>
    </xf>
    <xf numFmtId="0" fontId="13" fillId="11" borderId="0" xfId="0" applyFont="1" applyFill="1" applyAlignment="1" applyProtection="1">
      <alignment horizontal="left"/>
      <protection locked="0"/>
    </xf>
    <xf numFmtId="0" fontId="3" fillId="3" borderId="7" xfId="0" applyFont="1" applyFill="1" applyBorder="1" applyAlignment="1" applyProtection="1">
      <alignment horizontal="center" wrapText="1"/>
    </xf>
    <xf numFmtId="0" fontId="3" fillId="3" borderId="5" xfId="0" applyFont="1" applyFill="1" applyBorder="1" applyAlignment="1" applyProtection="1">
      <alignment horizontal="center" wrapText="1"/>
    </xf>
    <xf numFmtId="0" fontId="3" fillId="3" borderId="8" xfId="0" applyFont="1" applyFill="1" applyBorder="1" applyAlignment="1" applyProtection="1">
      <alignment horizontal="center" wrapText="1"/>
    </xf>
    <xf numFmtId="0" fontId="25" fillId="3" borderId="4" xfId="0" applyFont="1" applyFill="1" applyBorder="1" applyAlignment="1" applyProtection="1">
      <alignment horizontal="center" wrapText="1"/>
    </xf>
    <xf numFmtId="0" fontId="25" fillId="3" borderId="0" xfId="0" applyFont="1" applyFill="1" applyAlignment="1" applyProtection="1">
      <alignment horizontal="center" wrapText="1"/>
    </xf>
    <xf numFmtId="0" fontId="25" fillId="3" borderId="1" xfId="0" applyFont="1" applyFill="1" applyBorder="1" applyAlignment="1" applyProtection="1">
      <alignment horizontal="center" wrapText="1"/>
    </xf>
    <xf numFmtId="0" fontId="0" fillId="5" borderId="4" xfId="0" applyFill="1" applyBorder="1" applyAlignment="1" applyProtection="1">
      <alignment horizontal="right"/>
      <protection locked="0"/>
    </xf>
    <xf numFmtId="0" fontId="0" fillId="5" borderId="0" xfId="0" applyFill="1" applyAlignment="1" applyProtection="1">
      <alignment horizontal="right"/>
      <protection locked="0"/>
    </xf>
    <xf numFmtId="0" fontId="43" fillId="3" borderId="4" xfId="0" applyFont="1" applyFill="1" applyBorder="1" applyAlignment="1" applyProtection="1">
      <alignment horizontal="center" vertical="top" wrapText="1"/>
    </xf>
    <xf numFmtId="0" fontId="43" fillId="3" borderId="0" xfId="0" applyFont="1" applyFill="1" applyAlignment="1" applyProtection="1">
      <alignment horizontal="center" vertical="top" wrapText="1"/>
    </xf>
    <xf numFmtId="0" fontId="43" fillId="3" borderId="1" xfId="0" applyFont="1" applyFill="1" applyBorder="1" applyAlignment="1" applyProtection="1">
      <alignment horizontal="center" vertical="top" wrapText="1"/>
    </xf>
    <xf numFmtId="0" fontId="43" fillId="3" borderId="3" xfId="0" applyFont="1" applyFill="1" applyBorder="1" applyAlignment="1" applyProtection="1">
      <alignment horizontal="center" vertical="top" wrapText="1"/>
    </xf>
    <xf numFmtId="0" fontId="43" fillId="3" borderId="2" xfId="0" applyFont="1" applyFill="1" applyBorder="1" applyAlignment="1" applyProtection="1">
      <alignment horizontal="center" vertical="top" wrapText="1"/>
    </xf>
    <xf numFmtId="0" fontId="43" fillId="3" borderId="9" xfId="0" applyFont="1" applyFill="1" applyBorder="1" applyAlignment="1" applyProtection="1">
      <alignment horizontal="center" vertical="top" wrapText="1"/>
    </xf>
    <xf numFmtId="0" fontId="0" fillId="3" borderId="3" xfId="0" applyFill="1" applyBorder="1" applyAlignment="1" applyProtection="1">
      <alignment horizontal="left" wrapText="1"/>
    </xf>
    <xf numFmtId="0" fontId="0" fillId="3" borderId="2" xfId="0" applyFill="1" applyBorder="1" applyAlignment="1" applyProtection="1">
      <alignment horizontal="left" wrapText="1"/>
    </xf>
    <xf numFmtId="0" fontId="3" fillId="3" borderId="4" xfId="0" applyFont="1" applyFill="1" applyBorder="1" applyAlignment="1" applyProtection="1">
      <alignment horizontal="center" wrapText="1"/>
    </xf>
    <xf numFmtId="0" fontId="3" fillId="3" borderId="1" xfId="0" applyFont="1" applyFill="1" applyBorder="1" applyAlignment="1" applyProtection="1">
      <alignment horizontal="center" wrapText="1"/>
    </xf>
    <xf numFmtId="0" fontId="15" fillId="0" borderId="0" xfId="0" applyFont="1" applyAlignment="1" applyProtection="1">
      <alignment horizontal="left" vertical="center" wrapText="1"/>
    </xf>
    <xf numFmtId="0" fontId="15" fillId="0" borderId="0" xfId="0" applyFont="1" applyAlignment="1" applyProtection="1">
      <alignment horizontal="center"/>
    </xf>
    <xf numFmtId="0" fontId="15" fillId="0" borderId="0" xfId="0" applyFont="1" applyAlignment="1" applyProtection="1">
      <alignment horizontal="center" vertical="center" wrapText="1"/>
    </xf>
    <xf numFmtId="0" fontId="3" fillId="0" borderId="0" xfId="0" applyFont="1" applyAlignment="1" applyProtection="1">
      <alignment horizontal="left" vertical="top" wrapText="1"/>
    </xf>
    <xf numFmtId="0" fontId="0" fillId="3" borderId="9" xfId="0" applyFill="1" applyBorder="1" applyAlignment="1" applyProtection="1">
      <alignment horizontal="left"/>
    </xf>
    <xf numFmtId="0" fontId="0" fillId="11" borderId="1" xfId="0" applyFill="1" applyBorder="1" applyAlignment="1" applyProtection="1">
      <alignment horizontal="left"/>
      <protection locked="0"/>
    </xf>
    <xf numFmtId="0" fontId="25" fillId="3" borderId="4" xfId="0" applyFont="1" applyFill="1" applyBorder="1" applyAlignment="1" applyProtection="1">
      <alignment horizontal="center"/>
    </xf>
    <xf numFmtId="0" fontId="25" fillId="3" borderId="1" xfId="0" applyFont="1" applyFill="1" applyBorder="1" applyAlignment="1" applyProtection="1">
      <alignment horizontal="center"/>
    </xf>
    <xf numFmtId="165" fontId="29" fillId="2" borderId="2" xfId="0" applyNumberFormat="1" applyFont="1" applyFill="1" applyBorder="1" applyAlignment="1" applyProtection="1">
      <alignment horizontal="left" indent="3"/>
    </xf>
    <xf numFmtId="0" fontId="5" fillId="9" borderId="7" xfId="0" applyFont="1" applyFill="1" applyBorder="1" applyAlignment="1" applyProtection="1">
      <alignment horizontal="center"/>
    </xf>
    <xf numFmtId="0" fontId="5" fillId="9" borderId="5" xfId="0" applyFont="1" applyFill="1" applyBorder="1" applyAlignment="1" applyProtection="1">
      <alignment horizontal="center"/>
    </xf>
    <xf numFmtId="0" fontId="4" fillId="3" borderId="4" xfId="0" applyFont="1" applyFill="1" applyBorder="1" applyAlignment="1" applyProtection="1">
      <alignment horizontal="left"/>
    </xf>
    <xf numFmtId="0" fontId="4" fillId="3" borderId="0" xfId="0" applyFont="1" applyFill="1" applyAlignment="1" applyProtection="1">
      <alignment horizontal="left"/>
    </xf>
    <xf numFmtId="0" fontId="40" fillId="14" borderId="0" xfId="4" applyFont="1" applyBorder="1" applyAlignment="1" applyProtection="1">
      <alignment horizontal="left" vertical="top" wrapText="1"/>
    </xf>
    <xf numFmtId="0" fontId="3" fillId="0" borderId="0" xfId="0" applyFont="1" applyAlignment="1" applyProtection="1">
      <alignment horizontal="left" wrapText="1"/>
    </xf>
    <xf numFmtId="0" fontId="0" fillId="3" borderId="5" xfId="0" applyFill="1" applyBorder="1" applyAlignment="1" applyProtection="1">
      <alignment horizontal="center"/>
    </xf>
    <xf numFmtId="0" fontId="0" fillId="3" borderId="8" xfId="0" applyFill="1" applyBorder="1" applyAlignment="1" applyProtection="1">
      <alignment horizontal="center"/>
    </xf>
    <xf numFmtId="0" fontId="4" fillId="3" borderId="3" xfId="0" applyFont="1" applyFill="1" applyBorder="1" applyAlignment="1" applyProtection="1">
      <alignment horizontal="left"/>
    </xf>
    <xf numFmtId="0" fontId="4" fillId="3" borderId="2" xfId="0" applyFont="1" applyFill="1" applyBorder="1" applyAlignment="1" applyProtection="1">
      <alignment horizontal="left"/>
    </xf>
    <xf numFmtId="0" fontId="5" fillId="9" borderId="8" xfId="0" applyFont="1" applyFill="1" applyBorder="1" applyAlignment="1" applyProtection="1">
      <alignment horizontal="center"/>
    </xf>
    <xf numFmtId="0" fontId="15" fillId="4" borderId="0" xfId="0" applyFont="1" applyFill="1" applyAlignment="1" applyProtection="1">
      <alignment horizontal="center"/>
    </xf>
    <xf numFmtId="165" fontId="27" fillId="2" borderId="6" xfId="0" applyNumberFormat="1" applyFont="1" applyFill="1" applyBorder="1" applyAlignment="1" applyProtection="1">
      <alignment horizontal="center"/>
    </xf>
    <xf numFmtId="164" fontId="29" fillId="2" borderId="0" xfId="0" applyNumberFormat="1" applyFont="1" applyFill="1" applyAlignment="1" applyProtection="1">
      <alignment horizontal="right"/>
    </xf>
    <xf numFmtId="0" fontId="30" fillId="5" borderId="0" xfId="0" applyFont="1" applyFill="1" applyAlignment="1" applyProtection="1">
      <alignment horizontal="right"/>
      <protection locked="0"/>
    </xf>
    <xf numFmtId="0" fontId="0" fillId="0" borderId="0" xfId="0" applyAlignment="1" applyProtection="1">
      <alignment horizontal="left" wrapText="1"/>
    </xf>
    <xf numFmtId="0" fontId="20" fillId="3" borderId="7" xfId="0" applyFont="1" applyFill="1" applyBorder="1" applyAlignment="1" applyProtection="1">
      <alignment horizontal="center" vertical="center"/>
    </xf>
    <xf numFmtId="0" fontId="20" fillId="3" borderId="5" xfId="0" applyFont="1" applyFill="1" applyBorder="1" applyAlignment="1" applyProtection="1">
      <alignment horizontal="center" vertical="center"/>
    </xf>
    <xf numFmtId="0" fontId="20" fillId="3" borderId="3" xfId="0" applyFont="1" applyFill="1" applyBorder="1" applyAlignment="1" applyProtection="1">
      <alignment horizontal="center" vertical="center"/>
    </xf>
    <xf numFmtId="0" fontId="20" fillId="3" borderId="2" xfId="0" applyFont="1" applyFill="1" applyBorder="1" applyAlignment="1" applyProtection="1">
      <alignment horizontal="center" vertical="center"/>
    </xf>
    <xf numFmtId="0" fontId="5" fillId="3" borderId="7" xfId="0" applyFont="1" applyFill="1" applyBorder="1" applyAlignment="1" applyProtection="1">
      <alignment horizontal="center"/>
    </xf>
    <xf numFmtId="0" fontId="5" fillId="3" borderId="5" xfId="0" applyFont="1" applyFill="1" applyBorder="1" applyAlignment="1" applyProtection="1">
      <alignment horizontal="center"/>
    </xf>
    <xf numFmtId="164" fontId="12" fillId="2" borderId="5" xfId="0" applyNumberFormat="1" applyFont="1" applyFill="1" applyBorder="1" applyAlignment="1" applyProtection="1">
      <alignment horizontal="right" vertical="center"/>
    </xf>
    <xf numFmtId="164" fontId="12" fillId="2" borderId="2" xfId="0" applyNumberFormat="1" applyFont="1" applyFill="1" applyBorder="1" applyAlignment="1" applyProtection="1">
      <alignment horizontal="right" vertical="center"/>
    </xf>
    <xf numFmtId="0" fontId="3" fillId="3" borderId="3" xfId="0" applyFont="1" applyFill="1" applyBorder="1" applyAlignment="1" applyProtection="1">
      <alignment horizontal="center"/>
    </xf>
    <xf numFmtId="0" fontId="3" fillId="3" borderId="2" xfId="0" applyFont="1" applyFill="1" applyBorder="1" applyAlignment="1" applyProtection="1">
      <alignment horizontal="center"/>
    </xf>
    <xf numFmtId="0" fontId="24" fillId="3" borderId="8" xfId="0" applyFont="1" applyFill="1" applyBorder="1" applyAlignment="1" applyProtection="1">
      <alignment horizontal="center" vertical="center"/>
    </xf>
    <xf numFmtId="0" fontId="24" fillId="3" borderId="9" xfId="0" applyFont="1" applyFill="1" applyBorder="1" applyAlignment="1" applyProtection="1">
      <alignment horizontal="center" vertical="center"/>
    </xf>
    <xf numFmtId="0" fontId="6" fillId="9" borderId="10" xfId="0" applyFont="1" applyFill="1" applyBorder="1" applyAlignment="1" applyProtection="1">
      <alignment horizontal="center" vertical="center"/>
    </xf>
    <xf numFmtId="0" fontId="6" fillId="9" borderId="6" xfId="0" applyFont="1" applyFill="1" applyBorder="1" applyAlignment="1" applyProtection="1">
      <alignment horizontal="center" vertical="center"/>
    </xf>
    <xf numFmtId="0" fontId="6" fillId="9" borderId="11" xfId="0" applyFont="1" applyFill="1" applyBorder="1" applyAlignment="1" applyProtection="1">
      <alignment horizontal="center" vertical="center"/>
    </xf>
    <xf numFmtId="164" fontId="2" fillId="2" borderId="4" xfId="0" applyNumberFormat="1" applyFont="1" applyFill="1" applyBorder="1" applyAlignment="1" applyProtection="1">
      <alignment horizontal="center"/>
    </xf>
    <xf numFmtId="164" fontId="2" fillId="2" borderId="0" xfId="0" applyNumberFormat="1" applyFont="1" applyFill="1" applyAlignment="1" applyProtection="1">
      <alignment horizontal="center"/>
    </xf>
    <xf numFmtId="0" fontId="0" fillId="0" borderId="0" xfId="0" applyAlignment="1" applyProtection="1">
      <alignment vertical="top" wrapText="1"/>
    </xf>
    <xf numFmtId="0" fontId="36" fillId="14" borderId="0" xfId="4" applyBorder="1" applyAlignment="1" applyProtection="1">
      <alignment horizontal="left" vertical="top" wrapText="1"/>
    </xf>
    <xf numFmtId="0" fontId="6" fillId="3" borderId="10" xfId="0" applyFont="1" applyFill="1" applyBorder="1" applyAlignment="1" applyProtection="1">
      <alignment horizontal="right"/>
    </xf>
    <xf numFmtId="0" fontId="6" fillId="3" borderId="6" xfId="0" applyFont="1" applyFill="1" applyBorder="1" applyAlignment="1" applyProtection="1">
      <alignment horizontal="right"/>
    </xf>
    <xf numFmtId="0" fontId="5" fillId="12" borderId="5" xfId="0" applyFont="1" applyFill="1" applyBorder="1" applyAlignment="1" applyProtection="1">
      <alignment horizontal="center"/>
    </xf>
    <xf numFmtId="0" fontId="5" fillId="12" borderId="8" xfId="0" applyFont="1" applyFill="1" applyBorder="1" applyAlignment="1" applyProtection="1">
      <alignment horizontal="center"/>
    </xf>
    <xf numFmtId="0" fontId="30" fillId="3" borderId="0" xfId="0" applyFont="1" applyFill="1" applyAlignment="1" applyProtection="1">
      <alignment horizontal="left"/>
    </xf>
    <xf numFmtId="0" fontId="30" fillId="3" borderId="1" xfId="0" applyFont="1" applyFill="1" applyBorder="1" applyAlignment="1" applyProtection="1">
      <alignment horizontal="left"/>
    </xf>
    <xf numFmtId="0" fontId="30" fillId="3" borderId="2" xfId="0" applyFont="1" applyFill="1" applyBorder="1" applyAlignment="1" applyProtection="1">
      <alignment horizontal="left"/>
    </xf>
    <xf numFmtId="0" fontId="30" fillId="3" borderId="9" xfId="0" applyFont="1" applyFill="1" applyBorder="1" applyAlignment="1" applyProtection="1">
      <alignment horizontal="left"/>
    </xf>
    <xf numFmtId="0" fontId="5" fillId="12" borderId="7" xfId="0" applyFont="1" applyFill="1" applyBorder="1" applyAlignment="1" applyProtection="1">
      <alignment horizontal="center"/>
    </xf>
    <xf numFmtId="0" fontId="36" fillId="14" borderId="0" xfId="4" applyBorder="1" applyAlignment="1" applyProtection="1">
      <alignment vertical="top" wrapText="1"/>
    </xf>
    <xf numFmtId="0" fontId="0" fillId="0" borderId="0" xfId="0" applyAlignment="1">
      <alignment horizontal="center"/>
    </xf>
    <xf numFmtId="0" fontId="0" fillId="0" borderId="0" xfId="0" applyAlignment="1">
      <alignment horizontal="center" wrapText="1"/>
    </xf>
    <xf numFmtId="0" fontId="7" fillId="0" borderId="0" xfId="0" applyFont="1" applyAlignment="1">
      <alignment horizontal="center"/>
    </xf>
  </cellXfs>
  <cellStyles count="7">
    <cellStyle name="Bad" xfId="4" builtinId="27"/>
    <cellStyle name="Comma" xfId="3" builtinId="3"/>
    <cellStyle name="Currency" xfId="1" builtinId="4"/>
    <cellStyle name="Good" xfId="6" builtinId="26"/>
    <cellStyle name="Normal" xfId="0" builtinId="0"/>
    <cellStyle name="Normal 2" xfId="5" xr:uid="{BAC99ED3-1BEA-42AA-A47C-4DC1EA7C780E}"/>
    <cellStyle name="Percent" xfId="2" builtinId="5"/>
  </cellStyles>
  <dxfs count="59">
    <dxf>
      <font>
        <color rgb="FF9C5700"/>
      </font>
      <fill>
        <patternFill>
          <bgColor theme="7" tint="0.59996337778862885"/>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rgb="FF006100"/>
      </font>
      <fill>
        <patternFill>
          <bgColor rgb="FFC6EFCE"/>
        </patternFill>
      </fill>
    </dxf>
    <dxf>
      <font>
        <color theme="0"/>
      </font>
      <fill>
        <patternFill>
          <bgColor theme="0"/>
        </patternFill>
      </fill>
    </dxf>
    <dxf>
      <font>
        <color theme="0"/>
      </font>
      <fill>
        <patternFill>
          <bgColor theme="0"/>
        </patternFill>
      </fill>
    </dxf>
    <dxf>
      <font>
        <color theme="0" tint="-0.14996795556505021"/>
      </font>
    </dxf>
    <dxf>
      <font>
        <color theme="0" tint="-0.14996795556505021"/>
      </font>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5700"/>
      </font>
      <fill>
        <patternFill>
          <bgColor theme="7" tint="0.59996337778862885"/>
        </patternFill>
      </fill>
    </dxf>
    <dxf>
      <font>
        <color rgb="FF9C0006"/>
      </font>
      <fill>
        <patternFill>
          <bgColor rgb="FFFFC7CE"/>
        </patternFill>
      </fill>
    </dxf>
    <dxf>
      <font>
        <color rgb="FF006100"/>
      </font>
      <fill>
        <patternFill>
          <bgColor rgb="FFC6EF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C00000"/>
      </font>
      <fill>
        <patternFill>
          <bgColor rgb="FFFFCCCC"/>
        </patternFill>
      </fill>
    </dxf>
    <dxf>
      <font>
        <color rgb="FFC00000"/>
      </font>
      <fill>
        <patternFill>
          <bgColor rgb="FFFFCCCC"/>
        </patternFill>
      </fill>
    </dxf>
    <dxf>
      <font>
        <strike/>
      </font>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theme="0" tint="-0.14996795556505021"/>
      </font>
    </dxf>
    <dxf>
      <font>
        <color theme="0" tint="-0.14996795556505021"/>
      </font>
      <fill>
        <patternFill>
          <bgColor theme="0" tint="-0.14996795556505021"/>
        </patternFill>
      </fill>
    </dxf>
    <dxf>
      <font>
        <color rgb="FF9C0006"/>
      </font>
      <fill>
        <patternFill>
          <bgColor rgb="FFFFC7CE"/>
        </patternFill>
      </fill>
    </dxf>
    <dxf>
      <font>
        <color rgb="FF9C5700"/>
      </font>
      <fill>
        <patternFill>
          <bgColor rgb="FFFFEB9C"/>
        </patternFill>
      </fill>
    </dxf>
    <dxf>
      <font>
        <strike/>
      </font>
    </dxf>
    <dxf>
      <font>
        <strike/>
      </font>
    </dxf>
    <dxf>
      <font>
        <color theme="0"/>
      </font>
      <fill>
        <patternFill>
          <bgColor theme="0"/>
        </patternFill>
      </fill>
    </dxf>
    <dxf>
      <font>
        <color theme="0"/>
      </font>
      <fill>
        <patternFill>
          <bgColor theme="0"/>
        </patternFill>
      </fill>
    </dxf>
    <dxf>
      <font>
        <color rgb="FF9C0006"/>
      </font>
      <fill>
        <patternFill>
          <bgColor rgb="FFFFC7CE"/>
        </patternFill>
      </fill>
    </dxf>
    <dxf>
      <protection locked="1" hidden="0"/>
    </dxf>
    <dxf>
      <protection locked="1" hidden="0"/>
    </dxf>
    <dxf>
      <protection locked="1" hidden="0"/>
    </dxf>
    <dxf>
      <protection locked="1" hidden="0"/>
    </dxf>
    <dxf>
      <protection locked="1" hidden="0"/>
    </dxf>
    <dxf>
      <protection locked="1" hidden="0"/>
    </dxf>
    <dxf>
      <font>
        <color theme="0"/>
      </font>
      <fill>
        <patternFill>
          <bgColor theme="0"/>
        </patternFill>
      </fill>
    </dxf>
    <dxf>
      <font>
        <color theme="0"/>
      </font>
      <fill>
        <patternFill patternType="none">
          <bgColor auto="1"/>
        </patternFill>
      </fill>
    </dxf>
    <dxf>
      <font>
        <color theme="0"/>
      </font>
      <fill>
        <patternFill patternType="none">
          <bgColor auto="1"/>
        </patternFill>
      </fill>
    </dxf>
    <dxf>
      <font>
        <color theme="0"/>
      </font>
      <fill>
        <patternFill>
          <bgColor theme="0"/>
        </patternFill>
      </fill>
    </dxf>
  </dxfs>
  <tableStyles count="0" defaultTableStyle="TableStyleMedium2" defaultPivotStyle="PivotStyleLight16"/>
  <colors>
    <mruColors>
      <color rgb="FFFFCCCC"/>
      <color rgb="FFFF9999"/>
      <color rgb="FFFF33CC"/>
      <color rgb="FFFFAFAF"/>
      <color rgb="FF9C5700"/>
      <color rgb="FFFFC7CE"/>
      <color rgb="FF9C0006"/>
      <color rgb="FF006100"/>
      <color rgb="FFC6EFCE"/>
      <color rgb="FFFFEB9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4.xml"/><Relationship Id="rId1" Type="http://schemas.microsoft.com/office/2011/relationships/chartStyle" Target="style4.xml"/></Relationships>
</file>

<file path=xl/charts/_rels/chart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n-AU"/>
              <a:t>Benchmark pumping costs</a:t>
            </a:r>
          </a:p>
        </c:rich>
      </c:tx>
      <c:layout>
        <c:manualLayout>
          <c:xMode val="edge"/>
          <c:yMode val="edge"/>
          <c:x val="0.29243480615051687"/>
          <c:y val="6.3195052275245803E-3"/>
        </c:manualLayout>
      </c:layout>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665214087506489"/>
          <c:y val="0.13075857332747878"/>
          <c:w val="0.79677919734264935"/>
          <c:h val="0.76597123411772816"/>
        </c:manualLayout>
      </c:layout>
      <c:barChart>
        <c:barDir val="col"/>
        <c:grouping val="clustered"/>
        <c:varyColors val="0"/>
        <c:ser>
          <c:idx val="1"/>
          <c:order val="0"/>
          <c:spPr>
            <a:solidFill>
              <a:schemeClr val="accent2"/>
            </a:solidFill>
            <a:ln>
              <a:noFill/>
            </a:ln>
            <a:effectLst/>
          </c:spPr>
          <c:invertIfNegative val="0"/>
          <c:dPt>
            <c:idx val="0"/>
            <c:invertIfNegative val="0"/>
            <c:bubble3D val="0"/>
            <c:spPr>
              <a:solidFill>
                <a:srgbClr val="7030A0"/>
              </a:solidFill>
              <a:ln>
                <a:noFill/>
              </a:ln>
              <a:effectLst/>
            </c:spPr>
            <c:extLst>
              <c:ext xmlns:c16="http://schemas.microsoft.com/office/drawing/2014/chart" uri="{C3380CC4-5D6E-409C-BE32-E72D297353CC}">
                <c16:uniqueId val="{00000001-C4E4-4B15-9B47-D5E7F76523DA}"/>
              </c:ext>
            </c:extLst>
          </c:dPt>
          <c:dLbls>
            <c:dLbl>
              <c:idx val="0"/>
              <c:layout>
                <c:manualLayout>
                  <c:x val="0.14154916648682234"/>
                  <c:y val="8.9020929504675078E-2"/>
                </c:manualLayout>
              </c:layout>
              <c:tx>
                <c:strRef>
                  <c:f>'data for graph'!$J$5</c:f>
                  <c:strCache>
                    <c:ptCount val="1"/>
                    <c:pt idx="0">
                      <c:v>Your system</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{DB344FAB-7A3C-4A4B-960C-ED8C19D78B20}</c15:txfldGUID>
                      <c15:f>'data for graph'!$J$5</c15:f>
                      <c15:dlblFieldTableCache>
                        <c:ptCount val="1"/>
                        <c:pt idx="0">
                          <c:v>Your system</c:v>
                        </c:pt>
                      </c15:dlblFieldTableCache>
                    </c15:dlblFTEntry>
                  </c15:dlblFieldTable>
                  <c15:showDataLabelsRange val="0"/>
                </c:ext>
                <c:ext xmlns:c16="http://schemas.microsoft.com/office/drawing/2014/chart" uri="{C3380CC4-5D6E-409C-BE32-E72D297353CC}">
                  <c16:uniqueId val="{00000001-C4E4-4B15-9B47-D5E7F76523DA}"/>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'data for graph'!$J$5:$J$73</c:f>
              <c:strCache>
                <c:ptCount val="69"/>
                <c:pt idx="0">
                  <c:v>Your system</c:v>
                </c:pt>
                <c:pt idx="1">
                  <c:v>Pivot</c:v>
                </c:pt>
                <c:pt idx="2">
                  <c:v>Pivot</c:v>
                </c:pt>
                <c:pt idx="3">
                  <c:v>Pivot</c:v>
                </c:pt>
                <c:pt idx="4">
                  <c:v>Bike Shift</c:v>
                </c:pt>
                <c:pt idx="5">
                  <c:v>Pivot</c:v>
                </c:pt>
                <c:pt idx="6">
                  <c:v>Pivot</c:v>
                </c:pt>
                <c:pt idx="7">
                  <c:v>Pivot</c:v>
                </c:pt>
                <c:pt idx="8">
                  <c:v>Bike Shift</c:v>
                </c:pt>
                <c:pt idx="9">
                  <c:v>Pivot</c:v>
                </c:pt>
                <c:pt idx="10">
                  <c:v>Pivot</c:v>
                </c:pt>
                <c:pt idx="11">
                  <c:v>Pivot</c:v>
                </c:pt>
                <c:pt idx="12">
                  <c:v>Side roll</c:v>
                </c:pt>
                <c:pt idx="13">
                  <c:v>Micrspray</c:v>
                </c:pt>
                <c:pt idx="14">
                  <c:v>Pivot</c:v>
                </c:pt>
                <c:pt idx="15">
                  <c:v>Pivot</c:v>
                </c:pt>
                <c:pt idx="16">
                  <c:v>Solid set</c:v>
                </c:pt>
                <c:pt idx="17">
                  <c:v>Pivot</c:v>
                </c:pt>
                <c:pt idx="18">
                  <c:v>Bike shift</c:v>
                </c:pt>
                <c:pt idx="19">
                  <c:v>K-line</c:v>
                </c:pt>
                <c:pt idx="20">
                  <c:v>Pivot</c:v>
                </c:pt>
                <c:pt idx="21">
                  <c:v>Pivot</c:v>
                </c:pt>
                <c:pt idx="22">
                  <c:v>Pivot</c:v>
                </c:pt>
                <c:pt idx="23">
                  <c:v>Pivot</c:v>
                </c:pt>
                <c:pt idx="24">
                  <c:v>Pivot</c:v>
                </c:pt>
                <c:pt idx="25">
                  <c:v>Solid set</c:v>
                </c:pt>
                <c:pt idx="26">
                  <c:v>K-line</c:v>
                </c:pt>
                <c:pt idx="27">
                  <c:v>Hard hose</c:v>
                </c:pt>
                <c:pt idx="28">
                  <c:v>Bike Shift</c:v>
                </c:pt>
                <c:pt idx="29">
                  <c:v>Pivot</c:v>
                </c:pt>
                <c:pt idx="30">
                  <c:v>Lateral move</c:v>
                </c:pt>
                <c:pt idx="31">
                  <c:v>Bike shift</c:v>
                </c:pt>
                <c:pt idx="32">
                  <c:v>Solid Set</c:v>
                </c:pt>
                <c:pt idx="33">
                  <c:v>Bike Shift</c:v>
                </c:pt>
                <c:pt idx="34">
                  <c:v>Pivot</c:v>
                </c:pt>
                <c:pt idx="35">
                  <c:v>Solid Set</c:v>
                </c:pt>
                <c:pt idx="36">
                  <c:v>Traveller</c:v>
                </c:pt>
                <c:pt idx="37">
                  <c:v>Drip</c:v>
                </c:pt>
                <c:pt idx="38">
                  <c:v>Hard hose</c:v>
                </c:pt>
                <c:pt idx="39">
                  <c:v>Solid set</c:v>
                </c:pt>
                <c:pt idx="40">
                  <c:v>Bike Shift</c:v>
                </c:pt>
                <c:pt idx="41">
                  <c:v>Drip</c:v>
                </c:pt>
                <c:pt idx="42">
                  <c:v>Solid set</c:v>
                </c:pt>
                <c:pt idx="43">
                  <c:v>Hard Hose</c:v>
                </c:pt>
                <c:pt idx="44">
                  <c:v>Traveller</c:v>
                </c:pt>
                <c:pt idx="45">
                  <c:v>Traveller</c:v>
                </c:pt>
                <c:pt idx="46">
                  <c:v>Pivot</c:v>
                </c:pt>
                <c:pt idx="47">
                  <c:v>Traveller</c:v>
                </c:pt>
                <c:pt idx="48">
                  <c:v>Lateral move</c:v>
                </c:pt>
                <c:pt idx="49">
                  <c:v>Pivot</c:v>
                </c:pt>
                <c:pt idx="50">
                  <c:v>Drip</c:v>
                </c:pt>
                <c:pt idx="51">
                  <c:v>Solid set</c:v>
                </c:pt>
                <c:pt idx="52">
                  <c:v>Traveller</c:v>
                </c:pt>
                <c:pt idx="53">
                  <c:v>Traveller</c:v>
                </c:pt>
                <c:pt idx="54">
                  <c:v>Traveller</c:v>
                </c:pt>
                <c:pt idx="55">
                  <c:v>Traveller</c:v>
                </c:pt>
                <c:pt idx="56">
                  <c:v>Traveller</c:v>
                </c:pt>
                <c:pt idx="57">
                  <c:v>Traveller</c:v>
                </c:pt>
                <c:pt idx="58">
                  <c:v>Hard Hose</c:v>
                </c:pt>
                <c:pt idx="59">
                  <c:v>Traveller</c:v>
                </c:pt>
                <c:pt idx="60">
                  <c:v>Traveller</c:v>
                </c:pt>
                <c:pt idx="61">
                  <c:v>Hardhose</c:v>
                </c:pt>
                <c:pt idx="62">
                  <c:v>Hard hose</c:v>
                </c:pt>
                <c:pt idx="63">
                  <c:v>Traveller</c:v>
                </c:pt>
                <c:pt idx="64">
                  <c:v>Traveller</c:v>
                </c:pt>
                <c:pt idx="65">
                  <c:v>Traveller</c:v>
                </c:pt>
                <c:pt idx="66">
                  <c:v>Traveller</c:v>
                </c:pt>
                <c:pt idx="67">
                  <c:v>Solid set</c:v>
                </c:pt>
                <c:pt idx="68">
                  <c:v>Hard hose</c:v>
                </c:pt>
              </c:strCache>
            </c:strRef>
          </c:cat>
          <c:val>
            <c:numRef>
              <c:f>'data for graph'!$N$5:$N$73</c:f>
              <c:numCache>
                <c:formatCode>General</c:formatCode>
                <c:ptCount val="69"/>
                <c:pt idx="0">
                  <c:v>150</c:v>
                </c:pt>
                <c:pt idx="1">
                  <c:v>63.932967032979583</c:v>
                </c:pt>
                <c:pt idx="2">
                  <c:v>79.289780428300347</c:v>
                </c:pt>
                <c:pt idx="3">
                  <c:v>79.523809523809518</c:v>
                </c:pt>
                <c:pt idx="4">
                  <c:v>82.101806239737272</c:v>
                </c:pt>
                <c:pt idx="5">
                  <c:v>85.455154717868695</c:v>
                </c:pt>
                <c:pt idx="6">
                  <c:v>85.493858320713457</c:v>
                </c:pt>
                <c:pt idx="7">
                  <c:v>85.559006211071861</c:v>
                </c:pt>
                <c:pt idx="8">
                  <c:v>85.978835978835974</c:v>
                </c:pt>
                <c:pt idx="9">
                  <c:v>86.428013828482207</c:v>
                </c:pt>
                <c:pt idx="10">
                  <c:v>87.231352718078369</c:v>
                </c:pt>
                <c:pt idx="11">
                  <c:v>89.453745570084322</c:v>
                </c:pt>
                <c:pt idx="12">
                  <c:v>89.583333333333329</c:v>
                </c:pt>
                <c:pt idx="13">
                  <c:v>94.056706652126493</c:v>
                </c:pt>
                <c:pt idx="14">
                  <c:v>94.843049327383625</c:v>
                </c:pt>
                <c:pt idx="15">
                  <c:v>107.07986898463088</c:v>
                </c:pt>
                <c:pt idx="16">
                  <c:v>107.37628384687207</c:v>
                </c:pt>
                <c:pt idx="17">
                  <c:v>108.2251082251082</c:v>
                </c:pt>
                <c:pt idx="18">
                  <c:v>112.78195488721803</c:v>
                </c:pt>
                <c:pt idx="19">
                  <c:v>114.6384479717813</c:v>
                </c:pt>
                <c:pt idx="20">
                  <c:v>116.95906432748536</c:v>
                </c:pt>
                <c:pt idx="21">
                  <c:v>116.95906432748536</c:v>
                </c:pt>
                <c:pt idx="22">
                  <c:v>117.95031055885696</c:v>
                </c:pt>
                <c:pt idx="23">
                  <c:v>119.90179276427855</c:v>
                </c:pt>
                <c:pt idx="24">
                  <c:v>122.23639455782315</c:v>
                </c:pt>
                <c:pt idx="25">
                  <c:v>122.88786482334868</c:v>
                </c:pt>
                <c:pt idx="26">
                  <c:v>132.27513227513228</c:v>
                </c:pt>
                <c:pt idx="27">
                  <c:v>141.09347442680777</c:v>
                </c:pt>
                <c:pt idx="28">
                  <c:v>142.85714285714283</c:v>
                </c:pt>
                <c:pt idx="29">
                  <c:v>143.61300075585788</c:v>
                </c:pt>
                <c:pt idx="30">
                  <c:v>145.77259475218656</c:v>
                </c:pt>
                <c:pt idx="31">
                  <c:v>153.49544072948325</c:v>
                </c:pt>
                <c:pt idx="32">
                  <c:v>156.24999999999997</c:v>
                </c:pt>
                <c:pt idx="33">
                  <c:v>157.47039556563365</c:v>
                </c:pt>
                <c:pt idx="34">
                  <c:v>160.43834752444022</c:v>
                </c:pt>
                <c:pt idx="35">
                  <c:v>160.47444618873189</c:v>
                </c:pt>
                <c:pt idx="36">
                  <c:v>163.69047619047618</c:v>
                </c:pt>
                <c:pt idx="37">
                  <c:v>169.57528957528959</c:v>
                </c:pt>
                <c:pt idx="38">
                  <c:v>175.86580086580085</c:v>
                </c:pt>
                <c:pt idx="39">
                  <c:v>175.93244194229416</c:v>
                </c:pt>
                <c:pt idx="40">
                  <c:v>176.36684303350967</c:v>
                </c:pt>
                <c:pt idx="41">
                  <c:v>178.57142857142856</c:v>
                </c:pt>
                <c:pt idx="42">
                  <c:v>178.57142857142856</c:v>
                </c:pt>
                <c:pt idx="43">
                  <c:v>179.44677871148457</c:v>
                </c:pt>
                <c:pt idx="44">
                  <c:v>186.28478286179998</c:v>
                </c:pt>
                <c:pt idx="45">
                  <c:v>190.99947671376242</c:v>
                </c:pt>
                <c:pt idx="46">
                  <c:v>195.97069597069597</c:v>
                </c:pt>
                <c:pt idx="47">
                  <c:v>203.1368102796674</c:v>
                </c:pt>
                <c:pt idx="48">
                  <c:v>204.54917362133853</c:v>
                </c:pt>
                <c:pt idx="49">
                  <c:v>205.74534161490681</c:v>
                </c:pt>
                <c:pt idx="50">
                  <c:v>208.33333333333331</c:v>
                </c:pt>
                <c:pt idx="51">
                  <c:v>210.6227106227106</c:v>
                </c:pt>
                <c:pt idx="52">
                  <c:v>213.67521367521366</c:v>
                </c:pt>
                <c:pt idx="53">
                  <c:v>214.43359952676721</c:v>
                </c:pt>
                <c:pt idx="54">
                  <c:v>224.86772486772486</c:v>
                </c:pt>
                <c:pt idx="55">
                  <c:v>225.56390977443607</c:v>
                </c:pt>
                <c:pt idx="56">
                  <c:v>229.59183673469386</c:v>
                </c:pt>
                <c:pt idx="57">
                  <c:v>231.66023166023163</c:v>
                </c:pt>
                <c:pt idx="58">
                  <c:v>232.91925465838506</c:v>
                </c:pt>
                <c:pt idx="59">
                  <c:v>234.31594860166285</c:v>
                </c:pt>
                <c:pt idx="60">
                  <c:v>238.09523809523807</c:v>
                </c:pt>
                <c:pt idx="61">
                  <c:v>244.89795918367346</c:v>
                </c:pt>
                <c:pt idx="62">
                  <c:v>245.0980392156863</c:v>
                </c:pt>
                <c:pt idx="63">
                  <c:v>261.33241758241758</c:v>
                </c:pt>
                <c:pt idx="64">
                  <c:v>264.28571428571428</c:v>
                </c:pt>
                <c:pt idx="65">
                  <c:v>266.95526695526695</c:v>
                </c:pt>
                <c:pt idx="66">
                  <c:v>289.78696741854634</c:v>
                </c:pt>
                <c:pt idx="67">
                  <c:v>315.12605042016804</c:v>
                </c:pt>
                <c:pt idx="68">
                  <c:v>317.46031746031741</c:v>
                </c:pt>
              </c:numCache>
            </c:numRef>
          </c:val>
          <c:extLst>
            <c:ext xmlns:c16="http://schemas.microsoft.com/office/drawing/2014/chart" uri="{C3380CC4-5D6E-409C-BE32-E72D297353CC}">
              <c16:uniqueId val="{00000002-C4E4-4B15-9B47-D5E7F76523DA}"/>
            </c:ext>
          </c:extLst>
        </c:ser>
        <c:dLbls>
          <c:showLegendKey val="0"/>
          <c:showVal val="0"/>
          <c:showCatName val="0"/>
          <c:showSerName val="0"/>
          <c:showPercent val="0"/>
          <c:showBubbleSize val="0"/>
        </c:dLbls>
        <c:gapWidth val="219"/>
        <c:overlap val="-27"/>
        <c:axId val="482171136"/>
        <c:axId val="482172120"/>
      </c:barChart>
      <c:catAx>
        <c:axId val="482171136"/>
        <c:scaling>
          <c:orientation val="minMax"/>
        </c:scaling>
        <c:delete val="1"/>
        <c:axPos val="b"/>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a:t>All systems</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crossAx val="482172120"/>
        <c:crosses val="autoZero"/>
        <c:auto val="1"/>
        <c:lblAlgn val="ctr"/>
        <c:lblOffset val="100"/>
        <c:noMultiLvlLbl val="0"/>
      </c:catAx>
      <c:valAx>
        <c:axId val="4821721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a:t>Pumping</a:t>
                </a:r>
                <a:r>
                  <a:rPr lang="en-US" baseline="0"/>
                  <a:t> cost </a:t>
                </a:r>
                <a:r>
                  <a:rPr lang="en-US"/>
                  <a:t>$/ML</a:t>
                </a:r>
              </a:p>
            </c:rich>
          </c:tx>
          <c:layout>
            <c:manualLayout>
              <c:xMode val="edge"/>
              <c:yMode val="edge"/>
              <c:x val="2.6395406610342256E-2"/>
              <c:y val="0.2990432139015744"/>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8217113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n-AU"/>
              <a:t>Benchmark pumping costs</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4772936518157451E-2"/>
          <c:y val="0.12408318577402705"/>
          <c:w val="0.79474090851098089"/>
          <c:h val="0.65550691331047739"/>
        </c:manualLayout>
      </c:layout>
      <c:barChart>
        <c:barDir val="col"/>
        <c:grouping val="stacked"/>
        <c:varyColors val="0"/>
        <c:ser>
          <c:idx val="0"/>
          <c:order val="0"/>
          <c:tx>
            <c:strRef>
              <c:f>'data for graph'!$AA$3:$AF$3</c:f>
              <c:strCache>
                <c:ptCount val="1"/>
                <c:pt idx="0">
                  <c:v>Variable head total</c:v>
                </c:pt>
              </c:strCache>
            </c:strRef>
          </c:tx>
          <c:spPr>
            <a:solidFill>
              <a:schemeClr val="accent1"/>
            </a:solidFill>
            <a:ln>
              <a:noFill/>
            </a:ln>
            <a:effectLst/>
          </c:spPr>
          <c:invertIfNegative val="0"/>
          <c:dPt>
            <c:idx val="0"/>
            <c:invertIfNegative val="0"/>
            <c:bubble3D val="0"/>
            <c:spPr>
              <a:solidFill>
                <a:srgbClr val="7030A0"/>
              </a:solidFill>
              <a:ln>
                <a:noFill/>
              </a:ln>
              <a:effectLst/>
            </c:spPr>
            <c:extLst>
              <c:ext xmlns:c16="http://schemas.microsoft.com/office/drawing/2014/chart" uri="{C3380CC4-5D6E-409C-BE32-E72D297353CC}">
                <c16:uniqueId val="{00000001-8A23-44E2-B2BB-2D62310A6656}"/>
              </c:ext>
            </c:extLst>
          </c:dPt>
          <c:dLbls>
            <c:dLbl>
              <c:idx val="0"/>
              <c:layout>
                <c:manualLayout>
                  <c:x val="3.3728881291685872E-2"/>
                  <c:y val="-0.40030577184080796"/>
                </c:manualLayout>
              </c:layout>
              <c:tx>
                <c:rich>
                  <a:bodyPr/>
                  <a:lstStyle/>
                  <a:p>
                    <a:fld id="{34BD4EC9-F38D-4368-9050-F38C1E0D780A}" type="CELLRANGE">
                      <a:rPr lang="en-US"/>
                      <a:pPr/>
                      <a:t>[CELLRANGE]</a:t>
                    </a:fld>
                    <a:r>
                      <a:rPr lang="en-US" baseline="0"/>
                      <a:t> </a:t>
                    </a:r>
                  </a:p>
                </c:rich>
              </c:tx>
              <c:showLegendKey val="0"/>
              <c:showVal val="0"/>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8A23-44E2-B2BB-2D62310A6656}"/>
                </c:ext>
              </c:extLst>
            </c:dLbl>
            <c:dLbl>
              <c:idx val="1"/>
              <c:tx>
                <c:rich>
                  <a:bodyPr/>
                  <a:lstStyle/>
                  <a:p>
                    <a:endParaRPr lang="en-AU"/>
                  </a:p>
                </c:rich>
              </c:tx>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03-D970-49EB-AB25-772C116E3C3E}"/>
                </c:ext>
              </c:extLst>
            </c:dLbl>
            <c:dLbl>
              <c:idx val="2"/>
              <c:tx>
                <c:rich>
                  <a:bodyPr/>
                  <a:lstStyle/>
                  <a:p>
                    <a:endParaRPr lang="en-AU"/>
                  </a:p>
                </c:rich>
              </c:tx>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04-D970-49EB-AB25-772C116E3C3E}"/>
                </c:ext>
              </c:extLst>
            </c:dLbl>
            <c:dLbl>
              <c:idx val="3"/>
              <c:tx>
                <c:rich>
                  <a:bodyPr/>
                  <a:lstStyle/>
                  <a:p>
                    <a:endParaRPr lang="en-AU"/>
                  </a:p>
                </c:rich>
              </c:tx>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05-D970-49EB-AB25-772C116E3C3E}"/>
                </c:ext>
              </c:extLst>
            </c:dLbl>
            <c:dLbl>
              <c:idx val="4"/>
              <c:tx>
                <c:rich>
                  <a:bodyPr/>
                  <a:lstStyle/>
                  <a:p>
                    <a:endParaRPr lang="en-AU"/>
                  </a:p>
                </c:rich>
              </c:tx>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06-D970-49EB-AB25-772C116E3C3E}"/>
                </c:ext>
              </c:extLst>
            </c:dLbl>
            <c:dLbl>
              <c:idx val="5"/>
              <c:tx>
                <c:rich>
                  <a:bodyPr/>
                  <a:lstStyle/>
                  <a:p>
                    <a:endParaRPr lang="en-AU"/>
                  </a:p>
                </c:rich>
              </c:tx>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07-D970-49EB-AB25-772C116E3C3E}"/>
                </c:ext>
              </c:extLst>
            </c:dLbl>
            <c:dLbl>
              <c:idx val="6"/>
              <c:tx>
                <c:rich>
                  <a:bodyPr/>
                  <a:lstStyle/>
                  <a:p>
                    <a:endParaRPr lang="en-AU"/>
                  </a:p>
                </c:rich>
              </c:tx>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08-D970-49EB-AB25-772C116E3C3E}"/>
                </c:ext>
              </c:extLst>
            </c:dLbl>
            <c:dLbl>
              <c:idx val="7"/>
              <c:tx>
                <c:rich>
                  <a:bodyPr/>
                  <a:lstStyle/>
                  <a:p>
                    <a:endParaRPr lang="en-AU"/>
                  </a:p>
                </c:rich>
              </c:tx>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09-D970-49EB-AB25-772C116E3C3E}"/>
                </c:ext>
              </c:extLst>
            </c:dLbl>
            <c:dLbl>
              <c:idx val="8"/>
              <c:tx>
                <c:rich>
                  <a:bodyPr/>
                  <a:lstStyle/>
                  <a:p>
                    <a:endParaRPr lang="en-AU"/>
                  </a:p>
                </c:rich>
              </c:tx>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0A-D970-49EB-AB25-772C116E3C3E}"/>
                </c:ext>
              </c:extLst>
            </c:dLbl>
            <c:dLbl>
              <c:idx val="9"/>
              <c:tx>
                <c:rich>
                  <a:bodyPr/>
                  <a:lstStyle/>
                  <a:p>
                    <a:endParaRPr lang="en-AU"/>
                  </a:p>
                </c:rich>
              </c:tx>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0B-D970-49EB-AB25-772C116E3C3E}"/>
                </c:ext>
              </c:extLst>
            </c:dLbl>
            <c:dLbl>
              <c:idx val="10"/>
              <c:tx>
                <c:rich>
                  <a:bodyPr/>
                  <a:lstStyle/>
                  <a:p>
                    <a:endParaRPr lang="en-AU"/>
                  </a:p>
                </c:rich>
              </c:tx>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0C-D970-49EB-AB25-772C116E3C3E}"/>
                </c:ext>
              </c:extLst>
            </c:dLbl>
            <c:dLbl>
              <c:idx val="11"/>
              <c:tx>
                <c:rich>
                  <a:bodyPr/>
                  <a:lstStyle/>
                  <a:p>
                    <a:endParaRPr lang="en-AU"/>
                  </a:p>
                </c:rich>
              </c:tx>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0D-D970-49EB-AB25-772C116E3C3E}"/>
                </c:ext>
              </c:extLst>
            </c:dLbl>
            <c:dLbl>
              <c:idx val="12"/>
              <c:tx>
                <c:rich>
                  <a:bodyPr/>
                  <a:lstStyle/>
                  <a:p>
                    <a:endParaRPr lang="en-AU"/>
                  </a:p>
                </c:rich>
              </c:tx>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0E-D970-49EB-AB25-772C116E3C3E}"/>
                </c:ext>
              </c:extLst>
            </c:dLbl>
            <c:dLbl>
              <c:idx val="13"/>
              <c:tx>
                <c:rich>
                  <a:bodyPr/>
                  <a:lstStyle/>
                  <a:p>
                    <a:endParaRPr lang="en-AU"/>
                  </a:p>
                </c:rich>
              </c:tx>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0F-D970-49EB-AB25-772C116E3C3E}"/>
                </c:ext>
              </c:extLst>
            </c:dLbl>
            <c:dLbl>
              <c:idx val="14"/>
              <c:tx>
                <c:rich>
                  <a:bodyPr/>
                  <a:lstStyle/>
                  <a:p>
                    <a:endParaRPr lang="en-AU"/>
                  </a:p>
                </c:rich>
              </c:tx>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10-D970-49EB-AB25-772C116E3C3E}"/>
                </c:ext>
              </c:extLst>
            </c:dLbl>
            <c:dLbl>
              <c:idx val="15"/>
              <c:tx>
                <c:rich>
                  <a:bodyPr/>
                  <a:lstStyle/>
                  <a:p>
                    <a:endParaRPr lang="en-AU"/>
                  </a:p>
                </c:rich>
              </c:tx>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11-D970-49EB-AB25-772C116E3C3E}"/>
                </c:ext>
              </c:extLst>
            </c:dLbl>
            <c:dLbl>
              <c:idx val="16"/>
              <c:tx>
                <c:rich>
                  <a:bodyPr/>
                  <a:lstStyle/>
                  <a:p>
                    <a:endParaRPr lang="en-AU"/>
                  </a:p>
                </c:rich>
              </c:tx>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12-D970-49EB-AB25-772C116E3C3E}"/>
                </c:ext>
              </c:extLst>
            </c:dLbl>
            <c:dLbl>
              <c:idx val="17"/>
              <c:tx>
                <c:rich>
                  <a:bodyPr/>
                  <a:lstStyle/>
                  <a:p>
                    <a:endParaRPr lang="en-AU"/>
                  </a:p>
                </c:rich>
              </c:tx>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13-D970-49EB-AB25-772C116E3C3E}"/>
                </c:ext>
              </c:extLst>
            </c:dLbl>
            <c:dLbl>
              <c:idx val="18"/>
              <c:tx>
                <c:rich>
                  <a:bodyPr/>
                  <a:lstStyle/>
                  <a:p>
                    <a:endParaRPr lang="en-AU"/>
                  </a:p>
                </c:rich>
              </c:tx>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14-D970-49EB-AB25-772C116E3C3E}"/>
                </c:ext>
              </c:extLst>
            </c:dLbl>
            <c:dLbl>
              <c:idx val="19"/>
              <c:tx>
                <c:rich>
                  <a:bodyPr/>
                  <a:lstStyle/>
                  <a:p>
                    <a:endParaRPr lang="en-AU"/>
                  </a:p>
                </c:rich>
              </c:tx>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15-D970-49EB-AB25-772C116E3C3E}"/>
                </c:ext>
              </c:extLst>
            </c:dLbl>
            <c:dLbl>
              <c:idx val="20"/>
              <c:tx>
                <c:rich>
                  <a:bodyPr/>
                  <a:lstStyle/>
                  <a:p>
                    <a:endParaRPr lang="en-AU"/>
                  </a:p>
                </c:rich>
              </c:tx>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16-D970-49EB-AB25-772C116E3C3E}"/>
                </c:ext>
              </c:extLst>
            </c:dLbl>
            <c:dLbl>
              <c:idx val="21"/>
              <c:tx>
                <c:rich>
                  <a:bodyPr/>
                  <a:lstStyle/>
                  <a:p>
                    <a:endParaRPr lang="en-AU"/>
                  </a:p>
                </c:rich>
              </c:tx>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17-D970-49EB-AB25-772C116E3C3E}"/>
                </c:ext>
              </c:extLst>
            </c:dLbl>
            <c:dLbl>
              <c:idx val="22"/>
              <c:tx>
                <c:rich>
                  <a:bodyPr/>
                  <a:lstStyle/>
                  <a:p>
                    <a:endParaRPr lang="en-AU"/>
                  </a:p>
                </c:rich>
              </c:tx>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18-D970-49EB-AB25-772C116E3C3E}"/>
                </c:ext>
              </c:extLst>
            </c:dLbl>
            <c:dLbl>
              <c:idx val="23"/>
              <c:tx>
                <c:rich>
                  <a:bodyPr/>
                  <a:lstStyle/>
                  <a:p>
                    <a:endParaRPr lang="en-AU"/>
                  </a:p>
                </c:rich>
              </c:tx>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19-D970-49EB-AB25-772C116E3C3E}"/>
                </c:ext>
              </c:extLst>
            </c:dLbl>
            <c:dLbl>
              <c:idx val="24"/>
              <c:tx>
                <c:rich>
                  <a:bodyPr/>
                  <a:lstStyle/>
                  <a:p>
                    <a:endParaRPr lang="en-AU"/>
                  </a:p>
                </c:rich>
              </c:tx>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1A-D970-49EB-AB25-772C116E3C3E}"/>
                </c:ext>
              </c:extLst>
            </c:dLbl>
            <c:dLbl>
              <c:idx val="25"/>
              <c:tx>
                <c:rich>
                  <a:bodyPr/>
                  <a:lstStyle/>
                  <a:p>
                    <a:endParaRPr lang="en-AU"/>
                  </a:p>
                </c:rich>
              </c:tx>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1B-D970-49EB-AB25-772C116E3C3E}"/>
                </c:ext>
              </c:extLst>
            </c:dLbl>
            <c:dLbl>
              <c:idx val="26"/>
              <c:tx>
                <c:rich>
                  <a:bodyPr/>
                  <a:lstStyle/>
                  <a:p>
                    <a:endParaRPr lang="en-AU"/>
                  </a:p>
                </c:rich>
              </c:tx>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1C-D970-49EB-AB25-772C116E3C3E}"/>
                </c:ext>
              </c:extLst>
            </c:dLbl>
            <c:dLbl>
              <c:idx val="27"/>
              <c:tx>
                <c:rich>
                  <a:bodyPr/>
                  <a:lstStyle/>
                  <a:p>
                    <a:endParaRPr lang="en-AU"/>
                  </a:p>
                </c:rich>
              </c:tx>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1D-D970-49EB-AB25-772C116E3C3E}"/>
                </c:ext>
              </c:extLst>
            </c:dLbl>
            <c:dLbl>
              <c:idx val="28"/>
              <c:tx>
                <c:rich>
                  <a:bodyPr/>
                  <a:lstStyle/>
                  <a:p>
                    <a:endParaRPr lang="en-AU"/>
                  </a:p>
                </c:rich>
              </c:tx>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1E-D970-49EB-AB25-772C116E3C3E}"/>
                </c:ext>
              </c:extLst>
            </c:dLbl>
            <c:dLbl>
              <c:idx val="29"/>
              <c:tx>
                <c:rich>
                  <a:bodyPr/>
                  <a:lstStyle/>
                  <a:p>
                    <a:endParaRPr lang="en-AU"/>
                  </a:p>
                </c:rich>
              </c:tx>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1F-D970-49EB-AB25-772C116E3C3E}"/>
                </c:ext>
              </c:extLst>
            </c:dLbl>
            <c:dLbl>
              <c:idx val="30"/>
              <c:tx>
                <c:rich>
                  <a:bodyPr/>
                  <a:lstStyle/>
                  <a:p>
                    <a:endParaRPr lang="en-AU"/>
                  </a:p>
                </c:rich>
              </c:tx>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20-D970-49EB-AB25-772C116E3C3E}"/>
                </c:ext>
              </c:extLst>
            </c:dLbl>
            <c:dLbl>
              <c:idx val="31"/>
              <c:tx>
                <c:rich>
                  <a:bodyPr/>
                  <a:lstStyle/>
                  <a:p>
                    <a:endParaRPr lang="en-AU"/>
                  </a:p>
                </c:rich>
              </c:tx>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21-D970-49EB-AB25-772C116E3C3E}"/>
                </c:ext>
              </c:extLst>
            </c:dLbl>
            <c:dLbl>
              <c:idx val="32"/>
              <c:tx>
                <c:rich>
                  <a:bodyPr/>
                  <a:lstStyle/>
                  <a:p>
                    <a:endParaRPr lang="en-AU"/>
                  </a:p>
                </c:rich>
              </c:tx>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22-D970-49EB-AB25-772C116E3C3E}"/>
                </c:ext>
              </c:extLst>
            </c:dLbl>
            <c:dLbl>
              <c:idx val="33"/>
              <c:tx>
                <c:rich>
                  <a:bodyPr/>
                  <a:lstStyle/>
                  <a:p>
                    <a:endParaRPr lang="en-AU"/>
                  </a:p>
                </c:rich>
              </c:tx>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23-D970-49EB-AB25-772C116E3C3E}"/>
                </c:ext>
              </c:extLst>
            </c:dLbl>
            <c:dLbl>
              <c:idx val="34"/>
              <c:tx>
                <c:rich>
                  <a:bodyPr/>
                  <a:lstStyle/>
                  <a:p>
                    <a:endParaRPr lang="en-AU"/>
                  </a:p>
                </c:rich>
              </c:tx>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24-D970-49EB-AB25-772C116E3C3E}"/>
                </c:ext>
              </c:extLst>
            </c:dLbl>
            <c:dLbl>
              <c:idx val="35"/>
              <c:tx>
                <c:rich>
                  <a:bodyPr/>
                  <a:lstStyle/>
                  <a:p>
                    <a:endParaRPr lang="en-AU"/>
                  </a:p>
                </c:rich>
              </c:tx>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25-D970-49EB-AB25-772C116E3C3E}"/>
                </c:ext>
              </c:extLst>
            </c:dLbl>
            <c:dLbl>
              <c:idx val="36"/>
              <c:tx>
                <c:rich>
                  <a:bodyPr/>
                  <a:lstStyle/>
                  <a:p>
                    <a:endParaRPr lang="en-AU"/>
                  </a:p>
                </c:rich>
              </c:tx>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26-D970-49EB-AB25-772C116E3C3E}"/>
                </c:ext>
              </c:extLst>
            </c:dLbl>
            <c:dLbl>
              <c:idx val="37"/>
              <c:tx>
                <c:rich>
                  <a:bodyPr/>
                  <a:lstStyle/>
                  <a:p>
                    <a:endParaRPr lang="en-AU"/>
                  </a:p>
                </c:rich>
              </c:tx>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27-D970-49EB-AB25-772C116E3C3E}"/>
                </c:ext>
              </c:extLst>
            </c:dLbl>
            <c:dLbl>
              <c:idx val="38"/>
              <c:tx>
                <c:rich>
                  <a:bodyPr/>
                  <a:lstStyle/>
                  <a:p>
                    <a:endParaRPr lang="en-AU"/>
                  </a:p>
                </c:rich>
              </c:tx>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28-D970-49EB-AB25-772C116E3C3E}"/>
                </c:ext>
              </c:extLst>
            </c:dLbl>
            <c:dLbl>
              <c:idx val="39"/>
              <c:tx>
                <c:rich>
                  <a:bodyPr/>
                  <a:lstStyle/>
                  <a:p>
                    <a:endParaRPr lang="en-AU"/>
                  </a:p>
                </c:rich>
              </c:tx>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29-D970-49EB-AB25-772C116E3C3E}"/>
                </c:ext>
              </c:extLst>
            </c:dLbl>
            <c:dLbl>
              <c:idx val="40"/>
              <c:tx>
                <c:rich>
                  <a:bodyPr/>
                  <a:lstStyle/>
                  <a:p>
                    <a:endParaRPr lang="en-AU"/>
                  </a:p>
                </c:rich>
              </c:tx>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2A-D970-49EB-AB25-772C116E3C3E}"/>
                </c:ext>
              </c:extLst>
            </c:dLbl>
            <c:dLbl>
              <c:idx val="41"/>
              <c:tx>
                <c:rich>
                  <a:bodyPr/>
                  <a:lstStyle/>
                  <a:p>
                    <a:endParaRPr lang="en-AU"/>
                  </a:p>
                </c:rich>
              </c:tx>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2B-D970-49EB-AB25-772C116E3C3E}"/>
                </c:ext>
              </c:extLst>
            </c:dLbl>
            <c:dLbl>
              <c:idx val="42"/>
              <c:tx>
                <c:rich>
                  <a:bodyPr/>
                  <a:lstStyle/>
                  <a:p>
                    <a:endParaRPr lang="en-AU"/>
                  </a:p>
                </c:rich>
              </c:tx>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2C-D970-49EB-AB25-772C116E3C3E}"/>
                </c:ext>
              </c:extLst>
            </c:dLbl>
            <c:dLbl>
              <c:idx val="43"/>
              <c:tx>
                <c:rich>
                  <a:bodyPr/>
                  <a:lstStyle/>
                  <a:p>
                    <a:endParaRPr lang="en-AU"/>
                  </a:p>
                </c:rich>
              </c:tx>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2D-D970-49EB-AB25-772C116E3C3E}"/>
                </c:ext>
              </c:extLst>
            </c:dLbl>
            <c:dLbl>
              <c:idx val="44"/>
              <c:tx>
                <c:rich>
                  <a:bodyPr/>
                  <a:lstStyle/>
                  <a:p>
                    <a:endParaRPr lang="en-AU"/>
                  </a:p>
                </c:rich>
              </c:tx>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2E-D970-49EB-AB25-772C116E3C3E}"/>
                </c:ext>
              </c:extLst>
            </c:dLbl>
            <c:dLbl>
              <c:idx val="45"/>
              <c:tx>
                <c:rich>
                  <a:bodyPr/>
                  <a:lstStyle/>
                  <a:p>
                    <a:endParaRPr lang="en-AU"/>
                  </a:p>
                </c:rich>
              </c:tx>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2F-D970-49EB-AB25-772C116E3C3E}"/>
                </c:ext>
              </c:extLst>
            </c:dLbl>
            <c:dLbl>
              <c:idx val="46"/>
              <c:tx>
                <c:rich>
                  <a:bodyPr/>
                  <a:lstStyle/>
                  <a:p>
                    <a:endParaRPr lang="en-AU"/>
                  </a:p>
                </c:rich>
              </c:tx>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30-D970-49EB-AB25-772C116E3C3E}"/>
                </c:ext>
              </c:extLst>
            </c:dLbl>
            <c:dLbl>
              <c:idx val="47"/>
              <c:tx>
                <c:rich>
                  <a:bodyPr/>
                  <a:lstStyle/>
                  <a:p>
                    <a:endParaRPr lang="en-AU"/>
                  </a:p>
                </c:rich>
              </c:tx>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31-D970-49EB-AB25-772C116E3C3E}"/>
                </c:ext>
              </c:extLst>
            </c:dLbl>
            <c:dLbl>
              <c:idx val="48"/>
              <c:tx>
                <c:rich>
                  <a:bodyPr/>
                  <a:lstStyle/>
                  <a:p>
                    <a:endParaRPr lang="en-AU"/>
                  </a:p>
                </c:rich>
              </c:tx>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32-D970-49EB-AB25-772C116E3C3E}"/>
                </c:ext>
              </c:extLst>
            </c:dLbl>
            <c:dLbl>
              <c:idx val="49"/>
              <c:tx>
                <c:rich>
                  <a:bodyPr/>
                  <a:lstStyle/>
                  <a:p>
                    <a:endParaRPr lang="en-AU"/>
                  </a:p>
                </c:rich>
              </c:tx>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33-D970-49EB-AB25-772C116E3C3E}"/>
                </c:ext>
              </c:extLst>
            </c:dLbl>
            <c:dLbl>
              <c:idx val="50"/>
              <c:tx>
                <c:rich>
                  <a:bodyPr/>
                  <a:lstStyle/>
                  <a:p>
                    <a:endParaRPr lang="en-AU"/>
                  </a:p>
                </c:rich>
              </c:tx>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34-D970-49EB-AB25-772C116E3C3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multiLvlStrRef>
              <c:f>'data for graph'!$U$5:$V$55</c:f>
              <c:multiLvlStrCache>
                <c:ptCount val="51"/>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6">
                    <c:v> </c:v>
                  </c:pt>
                  <c:pt idx="28">
                    <c:v> </c:v>
                  </c:pt>
                  <c:pt idx="29">
                    <c:v> </c:v>
                  </c:pt>
                  <c:pt idx="30">
                    <c:v> </c:v>
                  </c:pt>
                  <c:pt idx="31">
                    <c:v> </c:v>
                  </c:pt>
                  <c:pt idx="32">
                    <c:v> </c:v>
                  </c:pt>
                  <c:pt idx="33">
                    <c:v> </c:v>
                  </c:pt>
                  <c:pt idx="34">
                    <c:v> </c:v>
                  </c:pt>
                  <c:pt idx="35">
                    <c:v> </c:v>
                  </c:pt>
                  <c:pt idx="36">
                    <c:v> </c:v>
                  </c:pt>
                  <c:pt idx="37">
                    <c:v> </c:v>
                  </c:pt>
                  <c:pt idx="39">
                    <c:v> </c:v>
                  </c:pt>
                  <c:pt idx="40">
                    <c:v> </c:v>
                  </c:pt>
                  <c:pt idx="41">
                    <c:v> </c:v>
                  </c:pt>
                  <c:pt idx="42">
                    <c:v> </c:v>
                  </c:pt>
                  <c:pt idx="43">
                    <c:v> </c:v>
                  </c:pt>
                  <c:pt idx="44">
                    <c:v> </c:v>
                  </c:pt>
                  <c:pt idx="50">
                    <c:v> </c:v>
                  </c:pt>
                </c:lvl>
                <c:lvl>
                  <c:pt idx="1">
                    <c:v>Drip</c:v>
                  </c:pt>
                  <c:pt idx="4">
                    <c:v>Solid set</c:v>
                  </c:pt>
                  <c:pt idx="9">
                    <c:v>Pivot</c:v>
                  </c:pt>
                  <c:pt idx="26">
                    <c:v>Lateral move</c:v>
                  </c:pt>
                  <c:pt idx="27">
                    <c:v>Traveller</c:v>
                  </c:pt>
                  <c:pt idx="37">
                    <c:v>Micrsprays</c:v>
                  </c:pt>
                  <c:pt idx="39">
                    <c:v>Bike Shift</c:v>
                  </c:pt>
                  <c:pt idx="44">
                    <c:v>Hard hose</c:v>
                  </c:pt>
                  <c:pt idx="49">
                    <c:v>K-line</c:v>
                  </c:pt>
                </c:lvl>
              </c:multiLvlStrCache>
            </c:multiLvlStrRef>
          </c:cat>
          <c:val>
            <c:numRef>
              <c:f>'data for graph'!$AD$5:$AD$55</c:f>
              <c:numCache>
                <c:formatCode>General</c:formatCode>
                <c:ptCount val="51"/>
                <c:pt idx="0">
                  <c:v>150</c:v>
                </c:pt>
                <c:pt idx="1">
                  <c:v>125.52767052767052</c:v>
                </c:pt>
                <c:pt idx="2">
                  <c:v>135.71428571428569</c:v>
                </c:pt>
                <c:pt idx="3">
                  <c:v>201.01389587525151</c:v>
                </c:pt>
                <c:pt idx="4">
                  <c:v>93.46146855688842</c:v>
                </c:pt>
                <c:pt idx="5">
                  <c:v>110.98310291858678</c:v>
                </c:pt>
                <c:pt idx="6">
                  <c:v>136.66492237920809</c:v>
                </c:pt>
                <c:pt idx="7">
                  <c:v>132.4404761904762</c:v>
                </c:pt>
                <c:pt idx="8">
                  <c:v>161.90476190476187</c:v>
                </c:pt>
                <c:pt idx="9">
                  <c:v>44.877999366900802</c:v>
                </c:pt>
                <c:pt idx="10">
                  <c:v>62.225672877738532</c:v>
                </c:pt>
                <c:pt idx="11">
                  <c:v>71.194542333062259</c:v>
                </c:pt>
                <c:pt idx="12">
                  <c:v>62.838623301267916</c:v>
                </c:pt>
                <c:pt idx="13">
                  <c:v>62.891955260770587</c:v>
                </c:pt>
                <c:pt idx="14">
                  <c:v>64.607065461124719</c:v>
                </c:pt>
                <c:pt idx="15">
                  <c:v>66.822373912363602</c:v>
                </c:pt>
                <c:pt idx="16">
                  <c:v>72.230281919216552</c:v>
                </c:pt>
                <c:pt idx="17">
                  <c:v>78.333333333333343</c:v>
                </c:pt>
                <c:pt idx="18">
                  <c:v>78.332775733244105</c:v>
                </c:pt>
                <c:pt idx="19">
                  <c:v>83.270345175107067</c:v>
                </c:pt>
                <c:pt idx="20">
                  <c:v>99.663697526183356</c:v>
                </c:pt>
                <c:pt idx="21">
                  <c:v>94.607321387189955</c:v>
                </c:pt>
                <c:pt idx="22">
                  <c:v>118.70035328114378</c:v>
                </c:pt>
                <c:pt idx="23">
                  <c:v>131.70823885109598</c:v>
                </c:pt>
                <c:pt idx="24">
                  <c:v>174.54212454212453</c:v>
                </c:pt>
                <c:pt idx="25">
                  <c:v>186.8131868131868</c:v>
                </c:pt>
                <c:pt idx="26">
                  <c:v>179.55486542443063</c:v>
                </c:pt>
                <c:pt idx="27">
                  <c:v>129.18871252204585</c:v>
                </c:pt>
                <c:pt idx="28">
                  <c:v>149.67532467532465</c:v>
                </c:pt>
                <c:pt idx="29">
                  <c:v>152.97619047619048</c:v>
                </c:pt>
                <c:pt idx="30">
                  <c:v>155.63725490196074</c:v>
                </c:pt>
                <c:pt idx="31">
                  <c:v>162.47525905227619</c:v>
                </c:pt>
                <c:pt idx="32">
                  <c:v>193.8348879070528</c:v>
                </c:pt>
                <c:pt idx="33">
                  <c:v>191.2320483749055</c:v>
                </c:pt>
                <c:pt idx="34">
                  <c:v>195.81807081807079</c:v>
                </c:pt>
                <c:pt idx="35">
                  <c:v>218.70748299319729</c:v>
                </c:pt>
                <c:pt idx="36">
                  <c:v>222.20496894409933</c:v>
                </c:pt>
                <c:pt idx="37">
                  <c:v>220.10582010582004</c:v>
                </c:pt>
                <c:pt idx="38">
                  <c:v>70.197044334975359</c:v>
                </c:pt>
                <c:pt idx="39">
                  <c:v>211.69690098261523</c:v>
                </c:pt>
                <c:pt idx="40">
                  <c:v>222.13642213642214</c:v>
                </c:pt>
                <c:pt idx="41">
                  <c:v>223.63945578231289</c:v>
                </c:pt>
                <c:pt idx="42">
                  <c:v>213.09523809523807</c:v>
                </c:pt>
                <c:pt idx="43">
                  <c:v>247.90764790764791</c:v>
                </c:pt>
                <c:pt idx="44">
                  <c:v>74.074074074074062</c:v>
                </c:pt>
                <c:pt idx="45">
                  <c:v>103.8922661263087</c:v>
                </c:pt>
                <c:pt idx="46">
                  <c:v>133.66087175610986</c:v>
                </c:pt>
                <c:pt idx="47">
                  <c:v>128.6425017768301</c:v>
                </c:pt>
                <c:pt idx="48">
                  <c:v>164.46208112874774</c:v>
                </c:pt>
                <c:pt idx="49">
                  <c:v>102.73368606701941</c:v>
                </c:pt>
                <c:pt idx="50">
                  <c:v>102.51322751322751</c:v>
                </c:pt>
              </c:numCache>
            </c:numRef>
          </c:val>
          <c:extLst>
            <c:ext xmlns:c15="http://schemas.microsoft.com/office/drawing/2012/chart" uri="{02D57815-91ED-43cb-92C2-25804820EDAC}">
              <c15:datalabelsRange>
                <c15:f>'data for graph'!$P$5</c15:f>
                <c15:dlblRangeCache>
                  <c:ptCount val="1"/>
                  <c:pt idx="0">
                    <c:v>Your system</c:v>
                  </c:pt>
                </c15:dlblRangeCache>
              </c15:datalabelsRange>
            </c:ext>
            <c:ext xmlns:c16="http://schemas.microsoft.com/office/drawing/2014/chart" uri="{C3380CC4-5D6E-409C-BE32-E72D297353CC}">
              <c16:uniqueId val="{00000003-AAAB-4A0C-8DFB-2EFDA057D33E}"/>
            </c:ext>
          </c:extLst>
        </c:ser>
        <c:ser>
          <c:idx val="1"/>
          <c:order val="1"/>
          <c:tx>
            <c:strRef>
              <c:f>'data for graph'!$V$3:$Z$3</c:f>
              <c:strCache>
                <c:ptCount val="1"/>
                <c:pt idx="0">
                  <c:v>Static head</c:v>
                </c:pt>
              </c:strCache>
            </c:strRef>
          </c:tx>
          <c:spPr>
            <a:solidFill>
              <a:schemeClr val="accent2"/>
            </a:solidFill>
            <a:ln>
              <a:noFill/>
            </a:ln>
            <a:effectLst/>
          </c:spPr>
          <c:invertIfNegative val="0"/>
          <c:cat>
            <c:multiLvlStrRef>
              <c:f>'data for graph'!$U$5:$V$55</c:f>
              <c:multiLvlStrCache>
                <c:ptCount val="51"/>
                <c:lvl>
                  <c:pt idx="0">
                    <c:v> </c:v>
                  </c:pt>
                  <c:pt idx="1">
                    <c:v> </c:v>
                  </c:pt>
                  <c:pt idx="2">
                    <c:v> </c:v>
                  </c:pt>
                  <c:pt idx="3">
                    <c:v> </c:v>
                  </c:pt>
                  <c:pt idx="4">
                    <c:v> </c:v>
                  </c:pt>
                  <c:pt idx="5">
                    <c:v> </c:v>
                  </c:pt>
                  <c:pt idx="6">
                    <c:v> </c:v>
                  </c:pt>
                  <c:pt idx="7">
                    <c:v> </c:v>
                  </c:pt>
                  <c:pt idx="8">
                    <c:v> </c:v>
                  </c:pt>
                  <c:pt idx="9">
                    <c:v> </c:v>
                  </c:pt>
                  <c:pt idx="10">
                    <c:v> </c:v>
                  </c:pt>
                  <c:pt idx="11">
                    <c:v> </c:v>
                  </c:pt>
                  <c:pt idx="12">
                    <c:v> </c:v>
                  </c:pt>
                  <c:pt idx="13">
                    <c:v> </c:v>
                  </c:pt>
                  <c:pt idx="14">
                    <c:v> </c:v>
                  </c:pt>
                  <c:pt idx="15">
                    <c:v> </c:v>
                  </c:pt>
                  <c:pt idx="16">
                    <c:v> </c:v>
                  </c:pt>
                  <c:pt idx="17">
                    <c:v> </c:v>
                  </c:pt>
                  <c:pt idx="18">
                    <c:v> </c:v>
                  </c:pt>
                  <c:pt idx="19">
                    <c:v> </c:v>
                  </c:pt>
                  <c:pt idx="20">
                    <c:v> </c:v>
                  </c:pt>
                  <c:pt idx="21">
                    <c:v> </c:v>
                  </c:pt>
                  <c:pt idx="22">
                    <c:v> </c:v>
                  </c:pt>
                  <c:pt idx="23">
                    <c:v> </c:v>
                  </c:pt>
                  <c:pt idx="24">
                    <c:v> </c:v>
                  </c:pt>
                  <c:pt idx="26">
                    <c:v> </c:v>
                  </c:pt>
                  <c:pt idx="28">
                    <c:v> </c:v>
                  </c:pt>
                  <c:pt idx="29">
                    <c:v> </c:v>
                  </c:pt>
                  <c:pt idx="30">
                    <c:v> </c:v>
                  </c:pt>
                  <c:pt idx="31">
                    <c:v> </c:v>
                  </c:pt>
                  <c:pt idx="32">
                    <c:v> </c:v>
                  </c:pt>
                  <c:pt idx="33">
                    <c:v> </c:v>
                  </c:pt>
                  <c:pt idx="34">
                    <c:v> </c:v>
                  </c:pt>
                  <c:pt idx="35">
                    <c:v> </c:v>
                  </c:pt>
                  <c:pt idx="36">
                    <c:v> </c:v>
                  </c:pt>
                  <c:pt idx="37">
                    <c:v> </c:v>
                  </c:pt>
                  <c:pt idx="39">
                    <c:v> </c:v>
                  </c:pt>
                  <c:pt idx="40">
                    <c:v> </c:v>
                  </c:pt>
                  <c:pt idx="41">
                    <c:v> </c:v>
                  </c:pt>
                  <c:pt idx="42">
                    <c:v> </c:v>
                  </c:pt>
                  <c:pt idx="43">
                    <c:v> </c:v>
                  </c:pt>
                  <c:pt idx="44">
                    <c:v> </c:v>
                  </c:pt>
                  <c:pt idx="50">
                    <c:v> </c:v>
                  </c:pt>
                </c:lvl>
                <c:lvl>
                  <c:pt idx="1">
                    <c:v>Drip</c:v>
                  </c:pt>
                  <c:pt idx="4">
                    <c:v>Solid set</c:v>
                  </c:pt>
                  <c:pt idx="9">
                    <c:v>Pivot</c:v>
                  </c:pt>
                  <c:pt idx="26">
                    <c:v>Lateral move</c:v>
                  </c:pt>
                  <c:pt idx="27">
                    <c:v>Traveller</c:v>
                  </c:pt>
                  <c:pt idx="37">
                    <c:v>Micrsprays</c:v>
                  </c:pt>
                  <c:pt idx="39">
                    <c:v>Bike Shift</c:v>
                  </c:pt>
                  <c:pt idx="44">
                    <c:v>Hard hose</c:v>
                  </c:pt>
                  <c:pt idx="49">
                    <c:v>K-line</c:v>
                  </c:pt>
                </c:lvl>
              </c:multiLvlStrCache>
            </c:multiLvlStrRef>
          </c:cat>
          <c:val>
            <c:numRef>
              <c:f>'data for graph'!$Z$5:$Z$55</c:f>
              <c:numCache>
                <c:formatCode>General</c:formatCode>
                <c:ptCount val="51"/>
                <c:pt idx="0">
                  <c:v>0</c:v>
                </c:pt>
                <c:pt idx="1">
                  <c:v>44.047619047619058</c:v>
                </c:pt>
                <c:pt idx="2">
                  <c:v>42.857142857142854</c:v>
                </c:pt>
                <c:pt idx="3">
                  <c:v>7.3194374580818238</c:v>
                </c:pt>
                <c:pt idx="4">
                  <c:v>11.904761904761903</c:v>
                </c:pt>
                <c:pt idx="5">
                  <c:v>23.80952380952381</c:v>
                </c:pt>
                <c:pt idx="6">
                  <c:v>16.666666666666664</c:v>
                </c:pt>
                <c:pt idx="7">
                  <c:v>23.809523809523807</c:v>
                </c:pt>
                <c:pt idx="8">
                  <c:v>23.809523809523807</c:v>
                </c:pt>
                <c:pt idx="9">
                  <c:v>8.0952380952380931</c:v>
                </c:pt>
                <c:pt idx="10">
                  <c:v>8.0952380952380931</c:v>
                </c:pt>
                <c:pt idx="11">
                  <c:v>1.1904761904761905</c:v>
                </c:pt>
                <c:pt idx="12">
                  <c:v>22.601903059942853</c:v>
                </c:pt>
                <c:pt idx="13">
                  <c:v>23.333333333333336</c:v>
                </c:pt>
                <c:pt idx="14">
                  <c:v>22.63137165772071</c:v>
                </c:pt>
                <c:pt idx="15">
                  <c:v>22.612767408167063</c:v>
                </c:pt>
                <c:pt idx="16">
                  <c:v>23.809523809523807</c:v>
                </c:pt>
                <c:pt idx="17">
                  <c:v>22.616531416600772</c:v>
                </c:pt>
                <c:pt idx="18">
                  <c:v>22.624287256953654</c:v>
                </c:pt>
                <c:pt idx="19">
                  <c:v>23.342989171667007</c:v>
                </c:pt>
                <c:pt idx="20">
                  <c:v>11.904761904761905</c:v>
                </c:pt>
                <c:pt idx="21">
                  <c:v>20.238095238095244</c:v>
                </c:pt>
                <c:pt idx="22">
                  <c:v>21.428571428571431</c:v>
                </c:pt>
                <c:pt idx="23">
                  <c:v>41.737994243296448</c:v>
                </c:pt>
                <c:pt idx="24">
                  <c:v>26.190476190476183</c:v>
                </c:pt>
                <c:pt idx="25">
                  <c:v>19.054967666078774</c:v>
                </c:pt>
                <c:pt idx="26">
                  <c:v>10.714285714285712</c:v>
                </c:pt>
                <c:pt idx="27">
                  <c:v>23.809523809523814</c:v>
                </c:pt>
                <c:pt idx="28">
                  <c:v>11.904761904761905</c:v>
                </c:pt>
                <c:pt idx="29">
                  <c:v>9.5238095238095219</c:v>
                </c:pt>
                <c:pt idx="30">
                  <c:v>17.857142857142851</c:v>
                </c:pt>
                <c:pt idx="31">
                  <c:v>22.619047619047613</c:v>
                </c:pt>
                <c:pt idx="32">
                  <c:v>10.714285714285719</c:v>
                </c:pt>
                <c:pt idx="33">
                  <c:v>25.000000000000004</c:v>
                </c:pt>
                <c:pt idx="34">
                  <c:v>19.047619047619051</c:v>
                </c:pt>
                <c:pt idx="35">
                  <c:v>5.9523809523809517</c:v>
                </c:pt>
                <c:pt idx="36">
                  <c:v>4.7619047619047619</c:v>
                </c:pt>
                <c:pt idx="37">
                  <c:v>0.59523809523809534</c:v>
                </c:pt>
                <c:pt idx="38">
                  <c:v>11.904761904761905</c:v>
                </c:pt>
                <c:pt idx="39">
                  <c:v>14.214641080312719</c:v>
                </c:pt>
                <c:pt idx="40">
                  <c:v>11.904761904761905</c:v>
                </c:pt>
                <c:pt idx="41">
                  <c:v>11.904761904761905</c:v>
                </c:pt>
                <c:pt idx="42">
                  <c:v>49.603174603174594</c:v>
                </c:pt>
                <c:pt idx="43">
                  <c:v>23.809523809523807</c:v>
                </c:pt>
                <c:pt idx="44">
                  <c:v>11.904761904761905</c:v>
                </c:pt>
                <c:pt idx="45">
                  <c:v>23.809523809523807</c:v>
                </c:pt>
                <c:pt idx="46">
                  <c:v>10.714285714285714</c:v>
                </c:pt>
                <c:pt idx="47">
                  <c:v>26.190476190476183</c:v>
                </c:pt>
                <c:pt idx="48">
                  <c:v>26.19047619047619</c:v>
                </c:pt>
                <c:pt idx="49">
                  <c:v>11.904761904761902</c:v>
                </c:pt>
                <c:pt idx="50">
                  <c:v>29.761904761904759</c:v>
                </c:pt>
              </c:numCache>
            </c:numRef>
          </c:val>
          <c:extLst>
            <c:ext xmlns:c16="http://schemas.microsoft.com/office/drawing/2014/chart" uri="{C3380CC4-5D6E-409C-BE32-E72D297353CC}">
              <c16:uniqueId val="{00000001-AAAB-4A0C-8DFB-2EFDA057D33E}"/>
            </c:ext>
          </c:extLst>
        </c:ser>
        <c:dLbls>
          <c:showLegendKey val="0"/>
          <c:showVal val="0"/>
          <c:showCatName val="0"/>
          <c:showSerName val="0"/>
          <c:showPercent val="0"/>
          <c:showBubbleSize val="0"/>
        </c:dLbls>
        <c:gapWidth val="55"/>
        <c:overlap val="100"/>
        <c:axId val="482171136"/>
        <c:axId val="482172120"/>
      </c:barChart>
      <c:catAx>
        <c:axId val="482171136"/>
        <c:scaling>
          <c:orientation val="minMax"/>
        </c:scaling>
        <c:delete val="0"/>
        <c:axPos val="b"/>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a:t>System type</a:t>
                </a: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82172120"/>
        <c:crosses val="autoZero"/>
        <c:auto val="0"/>
        <c:lblAlgn val="ctr"/>
        <c:lblOffset val="100"/>
        <c:noMultiLvlLbl val="0"/>
      </c:catAx>
      <c:valAx>
        <c:axId val="4821721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AU"/>
                  <a:t>Pumping costs</a:t>
                </a:r>
                <a:r>
                  <a:rPr lang="en-AU" baseline="0"/>
                  <a:t> $/ML</a:t>
                </a:r>
                <a:endParaRPr lang="en-AU"/>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821711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AU" sz="1200" b="0" i="0" baseline="0">
                <a:effectLst/>
              </a:rPr>
              <a:t>Breakdown of pumping costs -  $/year </a:t>
            </a:r>
            <a:endParaRPr lang="en-AU" sz="1200">
              <a:effectLst/>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760561864991616"/>
          <c:y val="0.14909188977116916"/>
          <c:w val="0.44704289646501066"/>
          <c:h val="0.70382430497135595"/>
        </c:manualLayout>
      </c:layout>
      <c:barChart>
        <c:barDir val="col"/>
        <c:grouping val="stacked"/>
        <c:varyColors val="0"/>
        <c:ser>
          <c:idx val="0"/>
          <c:order val="0"/>
          <c:tx>
            <c:strRef>
              <c:f>'STEP 2 Detailed analysis'!$AE$5</c:f>
              <c:strCache>
                <c:ptCount val="1"/>
                <c:pt idx="0">
                  <c:v>Static head</c:v>
                </c:pt>
              </c:strCache>
            </c:strRef>
          </c:tx>
          <c:spPr>
            <a:solidFill>
              <a:schemeClr val="accent1"/>
            </a:solidFill>
            <a:ln w="19050">
              <a:noFill/>
            </a:ln>
            <a:effectLst/>
          </c:spPr>
          <c:invertIfNegative val="0"/>
          <c:dPt>
            <c:idx val="0"/>
            <c:invertIfNegative val="0"/>
            <c:bubble3D val="0"/>
            <c:spPr>
              <a:solidFill>
                <a:schemeClr val="accent1"/>
              </a:solidFill>
              <a:ln w="19050">
                <a:noFill/>
              </a:ln>
              <a:effectLst/>
            </c:spPr>
            <c:extLst>
              <c:ext xmlns:c16="http://schemas.microsoft.com/office/drawing/2014/chart" uri="{C3380CC4-5D6E-409C-BE32-E72D297353CC}">
                <c16:uniqueId val="{00000001-3FBD-4A6C-8CE1-2E31801E16A0}"/>
              </c:ext>
            </c:extLst>
          </c:dPt>
          <c:cat>
            <c:strRef>
              <c:f>'STEP 2 Detailed analysis'!$AT$14:$AU$14</c:f>
              <c:strCache>
                <c:ptCount val="2"/>
                <c:pt idx="0">
                  <c:v>Current system</c:v>
                </c:pt>
                <c:pt idx="1">
                  <c:v>Improved system</c:v>
                </c:pt>
              </c:strCache>
            </c:strRef>
          </c:cat>
          <c:val>
            <c:numRef>
              <c:f>('STEP 2 Detailed analysis'!$AO$5,'STEP 2 Detailed analysis'!$AT$5)</c:f>
              <c:numCache>
                <c:formatCode>_-"$"* #,##0_-;\-"$"* #,##0_-;_-"$"* "-"??_-;_-@_-</c:formatCode>
                <c:ptCount val="2"/>
                <c:pt idx="0" formatCode="_-&quot;$&quot;* #,##0;\-&quot;$&quot;* #,##0;_-&quot;$&quot;* &quot;-&quot;??;_-@_-">
                  <c:v>0</c:v>
                </c:pt>
                <c:pt idx="1">
                  <c:v>0</c:v>
                </c:pt>
              </c:numCache>
            </c:numRef>
          </c:val>
          <c:extLst>
            <c:ext xmlns:c16="http://schemas.microsoft.com/office/drawing/2014/chart" uri="{C3380CC4-5D6E-409C-BE32-E72D297353CC}">
              <c16:uniqueId val="{00000002-3FBD-4A6C-8CE1-2E31801E16A0}"/>
            </c:ext>
          </c:extLst>
        </c:ser>
        <c:ser>
          <c:idx val="1"/>
          <c:order val="1"/>
          <c:tx>
            <c:strRef>
              <c:f>'STEP 2 Detailed analysis'!$AE$6</c:f>
              <c:strCache>
                <c:ptCount val="1"/>
                <c:pt idx="0">
                  <c:v>Main line</c:v>
                </c:pt>
              </c:strCache>
            </c:strRef>
          </c:tx>
          <c:spPr>
            <a:solidFill>
              <a:schemeClr val="accent2"/>
            </a:solidFill>
            <a:ln w="19050">
              <a:noFill/>
            </a:ln>
            <a:effectLst/>
          </c:spPr>
          <c:invertIfNegative val="0"/>
          <c:dPt>
            <c:idx val="0"/>
            <c:invertIfNegative val="0"/>
            <c:bubble3D val="0"/>
            <c:spPr>
              <a:solidFill>
                <a:schemeClr val="accent2"/>
              </a:solidFill>
              <a:ln w="19050">
                <a:noFill/>
              </a:ln>
              <a:effectLst/>
            </c:spPr>
            <c:extLst>
              <c:ext xmlns:c16="http://schemas.microsoft.com/office/drawing/2014/chart" uri="{C3380CC4-5D6E-409C-BE32-E72D297353CC}">
                <c16:uniqueId val="{00000004-3FBD-4A6C-8CE1-2E31801E16A0}"/>
              </c:ext>
            </c:extLst>
          </c:dPt>
          <c:cat>
            <c:strRef>
              <c:f>'STEP 2 Detailed analysis'!$AT$14:$AU$14</c:f>
              <c:strCache>
                <c:ptCount val="2"/>
                <c:pt idx="0">
                  <c:v>Current system</c:v>
                </c:pt>
                <c:pt idx="1">
                  <c:v>Improved system</c:v>
                </c:pt>
              </c:strCache>
            </c:strRef>
          </c:cat>
          <c:val>
            <c:numRef>
              <c:f>('STEP 2 Detailed analysis'!$AO$6,'STEP 2 Detailed analysis'!$AT$6)</c:f>
              <c:numCache>
                <c:formatCode>_-"$"* #,##0_-;\-"$"* #,##0_-;_-"$"* "-"??_-;_-@_-</c:formatCode>
                <c:ptCount val="2"/>
                <c:pt idx="0" formatCode="_-&quot;$&quot;* #,##0;\-&quot;$&quot;* #,##0;_-&quot;$&quot;* &quot;-&quot;??;_-@_-">
                  <c:v>2723.3729562311478</c:v>
                </c:pt>
                <c:pt idx="1">
                  <c:v>272.33729562311481</c:v>
                </c:pt>
              </c:numCache>
            </c:numRef>
          </c:val>
          <c:extLst>
            <c:ext xmlns:c16="http://schemas.microsoft.com/office/drawing/2014/chart" uri="{C3380CC4-5D6E-409C-BE32-E72D297353CC}">
              <c16:uniqueId val="{00000005-3FBD-4A6C-8CE1-2E31801E16A0}"/>
            </c:ext>
          </c:extLst>
        </c:ser>
        <c:ser>
          <c:idx val="2"/>
          <c:order val="2"/>
          <c:tx>
            <c:strRef>
              <c:f>'STEP 2 Detailed analysis'!$AE$7</c:f>
              <c:strCache>
                <c:ptCount val="1"/>
                <c:pt idx="0">
                  <c:v>Irrigator hose</c:v>
                </c:pt>
              </c:strCache>
            </c:strRef>
          </c:tx>
          <c:spPr>
            <a:solidFill>
              <a:schemeClr val="accent3"/>
            </a:solidFill>
            <a:ln w="19050">
              <a:noFill/>
            </a:ln>
            <a:effectLst/>
          </c:spPr>
          <c:invertIfNegative val="0"/>
          <c:dPt>
            <c:idx val="0"/>
            <c:invertIfNegative val="0"/>
            <c:bubble3D val="0"/>
            <c:spPr>
              <a:solidFill>
                <a:schemeClr val="accent3"/>
              </a:solidFill>
              <a:ln w="19050">
                <a:noFill/>
              </a:ln>
              <a:effectLst/>
            </c:spPr>
            <c:extLst>
              <c:ext xmlns:c16="http://schemas.microsoft.com/office/drawing/2014/chart" uri="{C3380CC4-5D6E-409C-BE32-E72D297353CC}">
                <c16:uniqueId val="{00000007-3FBD-4A6C-8CE1-2E31801E16A0}"/>
              </c:ext>
            </c:extLst>
          </c:dPt>
          <c:cat>
            <c:strRef>
              <c:f>'STEP 2 Detailed analysis'!$AT$14:$AU$14</c:f>
              <c:strCache>
                <c:ptCount val="2"/>
                <c:pt idx="0">
                  <c:v>Current system</c:v>
                </c:pt>
                <c:pt idx="1">
                  <c:v>Improved system</c:v>
                </c:pt>
              </c:strCache>
            </c:strRef>
          </c:cat>
          <c:val>
            <c:numRef>
              <c:f>('STEP 2 Detailed analysis'!$AO$7,'STEP 2 Detailed analysis'!$AT$7)</c:f>
              <c:numCache>
                <c:formatCode>_-"$"* #,##0_-;\-"$"* #,##0_-;_-"$"* "-"??_-;_-@_-</c:formatCode>
                <c:ptCount val="2"/>
                <c:pt idx="0" formatCode="_-&quot;$&quot;* #,##0;\-&quot;$&quot;* #,##0;_-&quot;$&quot;* &quot;-&quot;??;_-@_-">
                  <c:v>2178.6983649849185</c:v>
                </c:pt>
                <c:pt idx="1">
                  <c:v>1361.6864781155743</c:v>
                </c:pt>
              </c:numCache>
            </c:numRef>
          </c:val>
          <c:extLst>
            <c:ext xmlns:c16="http://schemas.microsoft.com/office/drawing/2014/chart" uri="{C3380CC4-5D6E-409C-BE32-E72D297353CC}">
              <c16:uniqueId val="{00000008-3FBD-4A6C-8CE1-2E31801E16A0}"/>
            </c:ext>
          </c:extLst>
        </c:ser>
        <c:ser>
          <c:idx val="3"/>
          <c:order val="3"/>
          <c:tx>
            <c:strRef>
              <c:f>'STEP 2 Detailed analysis'!$AE$8</c:f>
              <c:strCache>
                <c:ptCount val="1"/>
                <c:pt idx="0">
                  <c:v>Irrigator</c:v>
                </c:pt>
              </c:strCache>
            </c:strRef>
          </c:tx>
          <c:spPr>
            <a:solidFill>
              <a:schemeClr val="accent4"/>
            </a:solidFill>
            <a:ln w="19050">
              <a:noFill/>
            </a:ln>
            <a:effectLst/>
          </c:spPr>
          <c:invertIfNegative val="0"/>
          <c:dPt>
            <c:idx val="0"/>
            <c:invertIfNegative val="0"/>
            <c:bubble3D val="0"/>
            <c:spPr>
              <a:solidFill>
                <a:schemeClr val="accent4"/>
              </a:solidFill>
              <a:ln w="19050">
                <a:noFill/>
              </a:ln>
              <a:effectLst/>
            </c:spPr>
            <c:extLst>
              <c:ext xmlns:c16="http://schemas.microsoft.com/office/drawing/2014/chart" uri="{C3380CC4-5D6E-409C-BE32-E72D297353CC}">
                <c16:uniqueId val="{0000000A-3FBD-4A6C-8CE1-2E31801E16A0}"/>
              </c:ext>
            </c:extLst>
          </c:dPt>
          <c:cat>
            <c:strRef>
              <c:f>'STEP 2 Detailed analysis'!$AT$14:$AU$14</c:f>
              <c:strCache>
                <c:ptCount val="2"/>
                <c:pt idx="0">
                  <c:v>Current system</c:v>
                </c:pt>
                <c:pt idx="1">
                  <c:v>Improved system</c:v>
                </c:pt>
              </c:strCache>
            </c:strRef>
          </c:cat>
          <c:val>
            <c:numRef>
              <c:f>('STEP 2 Detailed analysis'!$AO$8,'STEP 2 Detailed analysis'!$AT$8)</c:f>
              <c:numCache>
                <c:formatCode>_-"$"* #,##0_-;\-"$"* #,##0_-;_-"$"* "-"??_-;_-@_-</c:formatCode>
                <c:ptCount val="2"/>
                <c:pt idx="0" formatCode="_-&quot;$&quot;* #,##0;\-&quot;$&quot;* #,##0;_-&quot;$&quot;* &quot;-&quot;??;_-@_-">
                  <c:v>11438.166416170821</c:v>
                </c:pt>
                <c:pt idx="1">
                  <c:v>11460.699377987048</c:v>
                </c:pt>
              </c:numCache>
            </c:numRef>
          </c:val>
          <c:extLst>
            <c:ext xmlns:c16="http://schemas.microsoft.com/office/drawing/2014/chart" uri="{C3380CC4-5D6E-409C-BE32-E72D297353CC}">
              <c16:uniqueId val="{0000000B-3FBD-4A6C-8CE1-2E31801E16A0}"/>
            </c:ext>
          </c:extLst>
        </c:ser>
        <c:ser>
          <c:idx val="4"/>
          <c:order val="4"/>
          <c:tx>
            <c:strRef>
              <c:f>'STEP 2 Detailed analysis'!$AE$9</c:f>
              <c:strCache>
                <c:ptCount val="1"/>
                <c:pt idx="0">
                  <c:v>Pump inefficiency</c:v>
                </c:pt>
              </c:strCache>
            </c:strRef>
          </c:tx>
          <c:spPr>
            <a:solidFill>
              <a:schemeClr val="accent5"/>
            </a:solidFill>
            <a:ln w="19050">
              <a:noFill/>
            </a:ln>
            <a:effectLst/>
          </c:spPr>
          <c:invertIfNegative val="0"/>
          <c:dPt>
            <c:idx val="0"/>
            <c:invertIfNegative val="0"/>
            <c:bubble3D val="0"/>
            <c:spPr>
              <a:solidFill>
                <a:schemeClr val="accent5"/>
              </a:solidFill>
              <a:ln w="19050">
                <a:noFill/>
              </a:ln>
              <a:effectLst/>
            </c:spPr>
            <c:extLst>
              <c:ext xmlns:c16="http://schemas.microsoft.com/office/drawing/2014/chart" uri="{C3380CC4-5D6E-409C-BE32-E72D297353CC}">
                <c16:uniqueId val="{0000000D-3FBD-4A6C-8CE1-2E31801E16A0}"/>
              </c:ext>
            </c:extLst>
          </c:dPt>
          <c:cat>
            <c:strRef>
              <c:f>'STEP 2 Detailed analysis'!$AT$14:$AU$14</c:f>
              <c:strCache>
                <c:ptCount val="2"/>
                <c:pt idx="0">
                  <c:v>Current system</c:v>
                </c:pt>
                <c:pt idx="1">
                  <c:v>Improved system</c:v>
                </c:pt>
              </c:strCache>
            </c:strRef>
          </c:cat>
          <c:val>
            <c:numRef>
              <c:f>('STEP 2 Detailed analysis'!$AO$9,'STEP 2 Detailed analysis'!$AT$9)</c:f>
              <c:numCache>
                <c:formatCode>_-"$"* #,##0_-;\-"$"* #,##0_-;_-"$"* "-"??_-;_-@_-</c:formatCode>
                <c:ptCount val="2"/>
                <c:pt idx="0" formatCode="_-&quot;$&quot;* #,##0;\-&quot;$&quot;* #,##0;_-&quot;$&quot;* &quot;-&quot;??;_-@_-">
                  <c:v>12065.490262613175</c:v>
                </c:pt>
                <c:pt idx="1">
                  <c:v>7711.7849575669861</c:v>
                </c:pt>
              </c:numCache>
            </c:numRef>
          </c:val>
          <c:extLst>
            <c:ext xmlns:c16="http://schemas.microsoft.com/office/drawing/2014/chart" uri="{C3380CC4-5D6E-409C-BE32-E72D297353CC}">
              <c16:uniqueId val="{0000000E-3FBD-4A6C-8CE1-2E31801E16A0}"/>
            </c:ext>
          </c:extLst>
        </c:ser>
        <c:ser>
          <c:idx val="5"/>
          <c:order val="5"/>
          <c:tx>
            <c:strRef>
              <c:f>'STEP 2 Detailed analysis'!$AE$10</c:f>
              <c:strCache>
                <c:ptCount val="1"/>
                <c:pt idx="0">
                  <c:v>Motor inefficiency</c:v>
                </c:pt>
              </c:strCache>
            </c:strRef>
          </c:tx>
          <c:spPr>
            <a:solidFill>
              <a:schemeClr val="accent6"/>
            </a:solidFill>
            <a:ln w="19050">
              <a:noFill/>
            </a:ln>
            <a:effectLst/>
          </c:spPr>
          <c:invertIfNegative val="0"/>
          <c:dPt>
            <c:idx val="0"/>
            <c:invertIfNegative val="0"/>
            <c:bubble3D val="0"/>
            <c:spPr>
              <a:solidFill>
                <a:schemeClr val="accent6"/>
              </a:solidFill>
              <a:ln w="19050">
                <a:noFill/>
              </a:ln>
              <a:effectLst/>
            </c:spPr>
            <c:extLst>
              <c:ext xmlns:c16="http://schemas.microsoft.com/office/drawing/2014/chart" uri="{C3380CC4-5D6E-409C-BE32-E72D297353CC}">
                <c16:uniqueId val="{00000010-3FBD-4A6C-8CE1-2E31801E16A0}"/>
              </c:ext>
            </c:extLst>
          </c:dPt>
          <c:cat>
            <c:strRef>
              <c:f>'STEP 2 Detailed analysis'!$AT$14:$AU$14</c:f>
              <c:strCache>
                <c:ptCount val="2"/>
                <c:pt idx="0">
                  <c:v>Current system</c:v>
                </c:pt>
                <c:pt idx="1">
                  <c:v>Improved system</c:v>
                </c:pt>
              </c:strCache>
            </c:strRef>
          </c:cat>
          <c:val>
            <c:numRef>
              <c:f>('STEP 2 Detailed analysis'!$AO$10,'STEP 2 Detailed analysis'!$AT$10)</c:f>
              <c:numCache>
                <c:formatCode>_-"$"* #,##0_-;\-"$"* #,##0_-;_-"$"* "-"??_-;_-@_-</c:formatCode>
                <c:ptCount val="2"/>
                <c:pt idx="0" formatCode="_-&quot;$&quot;* #,##0;\-&quot;$&quot;* #,##0;_-&quot;$&quot;* &quot;-&quot;??;_-@_-">
                  <c:v>1942.2720000000063</c:v>
                </c:pt>
                <c:pt idx="1">
                  <c:v>1942.2720000000063</c:v>
                </c:pt>
              </c:numCache>
            </c:numRef>
          </c:val>
          <c:extLst>
            <c:ext xmlns:c16="http://schemas.microsoft.com/office/drawing/2014/chart" uri="{C3380CC4-5D6E-409C-BE32-E72D297353CC}">
              <c16:uniqueId val="{00000011-3FBD-4A6C-8CE1-2E31801E16A0}"/>
            </c:ext>
          </c:extLst>
        </c:ser>
        <c:ser>
          <c:idx val="6"/>
          <c:order val="6"/>
          <c:tx>
            <c:v>Saving</c:v>
          </c:tx>
          <c:spPr>
            <a:solidFill>
              <a:srgbClr val="D8BEEC"/>
            </a:solidFill>
            <a:ln w="19050">
              <a:noFill/>
            </a:ln>
            <a:effectLst/>
          </c:spPr>
          <c:invertIfNegative val="0"/>
          <c:dLbls>
            <c:dLbl>
              <c:idx val="1"/>
              <c:tx>
                <c:strRef>
                  <c:f>'STEP 2 Detailed analysis'!$AE$47</c:f>
                  <c:strCache>
                    <c:ptCount val="1"/>
                    <c:pt idx="0">
                      <c:v>Saving: $7599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{ADAFA74C-16FC-415E-A09C-8918FE26CF63}</c15:txfldGUID>
                      <c15:f>'STEP 2 Detailed analysis'!$AE$47</c15:f>
                      <c15:dlblFieldTableCache>
                        <c:ptCount val="1"/>
                        <c:pt idx="0">
                          <c:v>Saving: $7599</c:v>
                        </c:pt>
                      </c15:dlblFieldTableCache>
                    </c15:dlblFTEntry>
                  </c15:dlblFieldTable>
                  <c15:showDataLabelsRange val="0"/>
                </c:ext>
                <c:ext xmlns:c16="http://schemas.microsoft.com/office/drawing/2014/chart" uri="{C3380CC4-5D6E-409C-BE32-E72D297353CC}">
                  <c16:uniqueId val="{00000012-3FBD-4A6C-8CE1-2E31801E16A0}"/>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('STEP 2 Detailed analysis'!$AQ$11,'STEP 2 Detailed analysis'!$AU$11)</c:f>
              <c:numCache>
                <c:formatCode>_("$"* #,##0.00_);_("$"* \(#,##0.00\);_("$"* "-"??_);_(@_)</c:formatCode>
                <c:ptCount val="2"/>
                <c:pt idx="1">
                  <c:v>7599.2199432299622</c:v>
                </c:pt>
              </c:numCache>
            </c:numRef>
          </c:val>
          <c:extLst>
            <c:ext xmlns:c16="http://schemas.microsoft.com/office/drawing/2014/chart" uri="{C3380CC4-5D6E-409C-BE32-E72D297353CC}">
              <c16:uniqueId val="{00000013-3FBD-4A6C-8CE1-2E31801E16A0}"/>
            </c:ext>
          </c:extLst>
        </c:ser>
        <c:dLbls>
          <c:showLegendKey val="0"/>
          <c:showVal val="0"/>
          <c:showCatName val="0"/>
          <c:showSerName val="0"/>
          <c:showPercent val="0"/>
          <c:showBubbleSize val="0"/>
        </c:dLbls>
        <c:gapWidth val="55"/>
        <c:overlap val="100"/>
        <c:axId val="854830768"/>
        <c:axId val="854835032"/>
      </c:barChart>
      <c:catAx>
        <c:axId val="854830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4835032"/>
        <c:crosses val="autoZero"/>
        <c:auto val="1"/>
        <c:lblAlgn val="ctr"/>
        <c:lblOffset val="100"/>
        <c:noMultiLvlLbl val="0"/>
      </c:catAx>
      <c:valAx>
        <c:axId val="85483503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483076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spc="-1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Breakdown of pumping costs</a:t>
            </a:r>
            <a:r>
              <a:rPr lang="en-AU" baseline="0"/>
              <a:t> -</a:t>
            </a:r>
            <a:r>
              <a:rPr lang="en-AU"/>
              <a:t>  $/year </a:t>
            </a:r>
          </a:p>
        </c:rich>
      </c:tx>
      <c:layout>
        <c:manualLayout>
          <c:xMode val="edge"/>
          <c:yMode val="edge"/>
          <c:x val="0.12218371116096645"/>
          <c:y val="2.0134225527899181E-2"/>
        </c:manualLayout>
      </c:layout>
      <c:overlay val="0"/>
      <c:spPr>
        <a:noFill/>
        <a:ln>
          <a:noFill/>
        </a:ln>
        <a:effectLst/>
      </c:sp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1550582383348758"/>
          <c:y val="0.28541879562022593"/>
          <c:w val="0.70794200248518346"/>
          <c:h val="0.57355637733584031"/>
        </c:manualLayout>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67DC-4C00-BF05-C70B986C1476}"/>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67DC-4C00-BF05-C70B986C1476}"/>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67DC-4C00-BF05-C70B986C1476}"/>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67DC-4C00-BF05-C70B986C1476}"/>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67DC-4C00-BF05-C70B986C1476}"/>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67DC-4C00-BF05-C70B986C1476}"/>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1"/>
            <c:showSerName val="0"/>
            <c:showPercent val="1"/>
            <c:showBubbleSize val="0"/>
            <c:showLeaderLines val="0"/>
            <c:extLst>
              <c:ext xmlns:c15="http://schemas.microsoft.com/office/drawing/2012/chart" uri="{CE6537A1-D6FC-4f65-9D91-7224C49458BB}"/>
            </c:extLst>
          </c:dLbls>
          <c:cat>
            <c:strRef>
              <c:f>'STEP 2 Detailed analysis'!$AE$5:$AE$10</c:f>
              <c:strCache>
                <c:ptCount val="6"/>
                <c:pt idx="0">
                  <c:v>Static head</c:v>
                </c:pt>
                <c:pt idx="1">
                  <c:v>Main line</c:v>
                </c:pt>
                <c:pt idx="2">
                  <c:v>Irrigator hose</c:v>
                </c:pt>
                <c:pt idx="3">
                  <c:v>Irrigator</c:v>
                </c:pt>
                <c:pt idx="4">
                  <c:v>Pump inefficiency</c:v>
                </c:pt>
                <c:pt idx="5">
                  <c:v>Motor inefficiency</c:v>
                </c:pt>
              </c:strCache>
            </c:strRef>
          </c:cat>
          <c:val>
            <c:numRef>
              <c:f>'STEP 2 Detailed analysis'!$AO$5:$AO$10</c:f>
              <c:numCache>
                <c:formatCode>_-"$"* #,##0;\-"$"* #,##0;_-"$"* "-"??;_-@_-</c:formatCode>
                <c:ptCount val="6"/>
                <c:pt idx="0">
                  <c:v>0</c:v>
                </c:pt>
                <c:pt idx="1">
                  <c:v>2723.3729562311478</c:v>
                </c:pt>
                <c:pt idx="2">
                  <c:v>2178.6983649849185</c:v>
                </c:pt>
                <c:pt idx="3">
                  <c:v>11438.166416170821</c:v>
                </c:pt>
                <c:pt idx="4">
                  <c:v>12065.490262613175</c:v>
                </c:pt>
                <c:pt idx="5">
                  <c:v>1942.2720000000063</c:v>
                </c:pt>
              </c:numCache>
            </c:numRef>
          </c:val>
          <c:extLst>
            <c:ext xmlns:c16="http://schemas.microsoft.com/office/drawing/2014/chart" uri="{C3380CC4-5D6E-409C-BE32-E72D297353CC}">
              <c16:uniqueId val="{0000000C-67DC-4C00-BF05-C70B986C1476}"/>
            </c:ext>
          </c:extLst>
        </c:ser>
        <c:ser>
          <c:idx val="1"/>
          <c:order val="1"/>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E-67DC-4C00-BF05-C70B986C1476}"/>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10-67DC-4C00-BF05-C70B986C1476}"/>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12-67DC-4C00-BF05-C70B986C1476}"/>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14-67DC-4C00-BF05-C70B986C1476}"/>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16-67DC-4C00-BF05-C70B986C1476}"/>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18-67DC-4C00-BF05-C70B986C1476}"/>
              </c:ext>
            </c:extLst>
          </c:dPt>
          <c:cat>
            <c:strRef>
              <c:f>'STEP 2 Detailed analysis'!$AE$5:$AE$10</c:f>
              <c:strCache>
                <c:ptCount val="6"/>
                <c:pt idx="0">
                  <c:v>Static head</c:v>
                </c:pt>
                <c:pt idx="1">
                  <c:v>Main line</c:v>
                </c:pt>
                <c:pt idx="2">
                  <c:v>Irrigator hose</c:v>
                </c:pt>
                <c:pt idx="3">
                  <c:v>Irrigator</c:v>
                </c:pt>
                <c:pt idx="4">
                  <c:v>Pump inefficiency</c:v>
                </c:pt>
                <c:pt idx="5">
                  <c:v>Motor inefficiency</c:v>
                </c:pt>
              </c:strCache>
            </c:strRef>
          </c:cat>
          <c:val>
            <c:numRef>
              <c:f>'STEP 2 Detailed analysis'!$AN$5:$AN$10</c:f>
              <c:numCache>
                <c:formatCode>0.0</c:formatCode>
                <c:ptCount val="6"/>
                <c:pt idx="0">
                  <c:v>0</c:v>
                </c:pt>
                <c:pt idx="1">
                  <c:v>6.8084323905778694</c:v>
                </c:pt>
                <c:pt idx="2">
                  <c:v>5.4467459124622968</c:v>
                </c:pt>
                <c:pt idx="3">
                  <c:v>28.595416040427054</c:v>
                </c:pt>
                <c:pt idx="4">
                  <c:v>30.163725656532936</c:v>
                </c:pt>
                <c:pt idx="5">
                  <c:v>4.8556800000000155</c:v>
                </c:pt>
              </c:numCache>
            </c:numRef>
          </c:val>
          <c:extLst>
            <c:ext xmlns:c16="http://schemas.microsoft.com/office/drawing/2014/chart" uri="{C3380CC4-5D6E-409C-BE32-E72D297353CC}">
              <c16:uniqueId val="{00000019-67DC-4C00-BF05-C70B986C1476}"/>
            </c:ext>
          </c:extLst>
        </c:ser>
        <c:dLbls>
          <c:showLegendKey val="0"/>
          <c:showVal val="0"/>
          <c:showCatName val="0"/>
          <c:showSerName val="0"/>
          <c:showPercent val="0"/>
          <c:showBubbleSize val="0"/>
          <c:showLeaderLines val="0"/>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400" b="0"/>
            </a:pPr>
            <a:r>
              <a:rPr lang="en-US" sz="1400" b="0"/>
              <a:t>Measured</a:t>
            </a:r>
          </a:p>
        </c:rich>
      </c:tx>
      <c:overlay val="0"/>
    </c:title>
    <c:autoTitleDeleted val="0"/>
    <c:plotArea>
      <c:layout>
        <c:manualLayout>
          <c:layoutTarget val="inner"/>
          <c:xMode val="edge"/>
          <c:yMode val="edge"/>
          <c:x val="6.300602457792881E-2"/>
          <c:y val="0"/>
          <c:w val="0.82184397163120571"/>
          <c:h val="0.86292834890965731"/>
        </c:manualLayout>
      </c:layout>
      <c:scatterChart>
        <c:scatterStyle val="smoothMarker"/>
        <c:varyColors val="0"/>
        <c:ser>
          <c:idx val="6"/>
          <c:order val="0"/>
          <c:spPr>
            <a:ln w="38100">
              <a:solidFill>
                <a:srgbClr val="00B0F0"/>
              </a:solidFill>
              <a:prstDash val="sysDash"/>
            </a:ln>
          </c:spPr>
          <c:marker>
            <c:symbol val="none"/>
          </c:marker>
          <c:xVal>
            <c:numRef>
              <c:f>'Endgun models'!$K$4:$K$6</c:f>
              <c:numCache>
                <c:formatCode>General</c:formatCode>
                <c:ptCount val="3"/>
                <c:pt idx="0" formatCode="0.0">
                  <c:v>48.713799350656998</c:v>
                </c:pt>
                <c:pt idx="1">
                  <c:v>24.356899675328499</c:v>
                </c:pt>
                <c:pt idx="2">
                  <c:v>0</c:v>
                </c:pt>
              </c:numCache>
            </c:numRef>
          </c:xVal>
          <c:yVal>
            <c:numRef>
              <c:f>'Endgun models'!$L$4:$L$6</c:f>
              <c:numCache>
                <c:formatCode>General</c:formatCode>
                <c:ptCount val="3"/>
                <c:pt idx="0">
                  <c:v>1</c:v>
                </c:pt>
                <c:pt idx="1">
                  <c:v>12</c:v>
                </c:pt>
                <c:pt idx="2">
                  <c:v>10</c:v>
                </c:pt>
              </c:numCache>
            </c:numRef>
          </c:yVal>
          <c:smooth val="1"/>
          <c:extLst>
            <c:ext xmlns:c16="http://schemas.microsoft.com/office/drawing/2014/chart" uri="{C3380CC4-5D6E-409C-BE32-E72D297353CC}">
              <c16:uniqueId val="{0000001C-D096-41DE-AC67-801C12AE0ED5}"/>
            </c:ext>
          </c:extLst>
        </c:ser>
        <c:ser>
          <c:idx val="7"/>
          <c:order val="1"/>
          <c:spPr>
            <a:ln w="38100">
              <a:solidFill>
                <a:srgbClr val="00B0F0"/>
              </a:solidFill>
              <a:prstDash val="sysDash"/>
            </a:ln>
          </c:spPr>
          <c:marker>
            <c:symbol val="none"/>
          </c:marker>
          <c:xVal>
            <c:numRef>
              <c:f>'Endgun models'!$K$7:$K$9</c:f>
              <c:numCache>
                <c:formatCode>General</c:formatCode>
                <c:ptCount val="3"/>
                <c:pt idx="0">
                  <c:v>38.971039480525597</c:v>
                </c:pt>
                <c:pt idx="1">
                  <c:v>19.485519740262799</c:v>
                </c:pt>
                <c:pt idx="2">
                  <c:v>0</c:v>
                </c:pt>
              </c:numCache>
            </c:numRef>
          </c:xVal>
          <c:yVal>
            <c:numRef>
              <c:f>'Endgun models'!$L$7:$L$9</c:f>
              <c:numCache>
                <c:formatCode>General</c:formatCode>
                <c:ptCount val="3"/>
                <c:pt idx="0">
                  <c:v>1</c:v>
                </c:pt>
                <c:pt idx="1">
                  <c:v>11.8</c:v>
                </c:pt>
                <c:pt idx="2">
                  <c:v>10</c:v>
                </c:pt>
              </c:numCache>
            </c:numRef>
          </c:yVal>
          <c:smooth val="1"/>
          <c:extLst>
            <c:ext xmlns:c16="http://schemas.microsoft.com/office/drawing/2014/chart" uri="{C3380CC4-5D6E-409C-BE32-E72D297353CC}">
              <c16:uniqueId val="{0000001D-D096-41DE-AC67-801C12AE0ED5}"/>
            </c:ext>
          </c:extLst>
        </c:ser>
        <c:ser>
          <c:idx val="8"/>
          <c:order val="2"/>
          <c:spPr>
            <a:ln w="38100">
              <a:solidFill>
                <a:srgbClr val="00B0F0"/>
              </a:solidFill>
              <a:prstDash val="sysDash"/>
            </a:ln>
          </c:spPr>
          <c:marker>
            <c:symbol val="none"/>
          </c:marker>
          <c:xVal>
            <c:numRef>
              <c:f>'Endgun models'!$K$10:$K$24</c:f>
              <c:numCache>
                <c:formatCode>General</c:formatCode>
                <c:ptCount val="15"/>
                <c:pt idx="0">
                  <c:v>27.836456771803999</c:v>
                </c:pt>
                <c:pt idx="1">
                  <c:v>13.918228385901999</c:v>
                </c:pt>
                <c:pt idx="2">
                  <c:v>6.0892249188321248</c:v>
                </c:pt>
                <c:pt idx="3">
                  <c:v>8.1189665584428337</c:v>
                </c:pt>
                <c:pt idx="4">
                  <c:v>4.0594832792214168</c:v>
                </c:pt>
                <c:pt idx="5">
                  <c:v>0</c:v>
                </c:pt>
                <c:pt idx="14">
                  <c:v>0</c:v>
                </c:pt>
              </c:numCache>
            </c:numRef>
          </c:xVal>
          <c:yVal>
            <c:numRef>
              <c:f>'Endgun models'!$L$10:$L$24</c:f>
              <c:numCache>
                <c:formatCode>General</c:formatCode>
                <c:ptCount val="15"/>
                <c:pt idx="0">
                  <c:v>1</c:v>
                </c:pt>
                <c:pt idx="1">
                  <c:v>11.600000000000001</c:v>
                </c:pt>
                <c:pt idx="2">
                  <c:v>11.200000000000003</c:v>
                </c:pt>
                <c:pt idx="3">
                  <c:v>1</c:v>
                </c:pt>
                <c:pt idx="4">
                  <c:v>11.000000000000004</c:v>
                </c:pt>
                <c:pt idx="5">
                  <c:v>10</c:v>
                </c:pt>
                <c:pt idx="14">
                  <c:v>10</c:v>
                </c:pt>
              </c:numCache>
            </c:numRef>
          </c:yVal>
          <c:smooth val="1"/>
          <c:extLst>
            <c:ext xmlns:c16="http://schemas.microsoft.com/office/drawing/2014/chart" uri="{C3380CC4-5D6E-409C-BE32-E72D297353CC}">
              <c16:uniqueId val="{0000001E-D096-41DE-AC67-801C12AE0ED5}"/>
            </c:ext>
          </c:extLst>
        </c:ser>
        <c:ser>
          <c:idx val="9"/>
          <c:order val="3"/>
          <c:spPr>
            <a:ln w="38100">
              <a:solidFill>
                <a:srgbClr val="00B0F0"/>
              </a:solidFill>
              <a:prstDash val="sysDash"/>
            </a:ln>
          </c:spPr>
          <c:marker>
            <c:symbol val="none"/>
          </c:marker>
          <c:xVal>
            <c:numRef>
              <c:f>'Endgun models'!$K$25:$K$27</c:f>
              <c:numCache>
                <c:formatCode>General</c:formatCode>
                <c:ptCount val="3"/>
                <c:pt idx="0">
                  <c:v>19.485519740262799</c:v>
                </c:pt>
                <c:pt idx="1">
                  <c:v>9.7427598701313993</c:v>
                </c:pt>
                <c:pt idx="2">
                  <c:v>0</c:v>
                </c:pt>
              </c:numCache>
            </c:numRef>
          </c:xVal>
          <c:yVal>
            <c:numRef>
              <c:f>'Endgun models'!$L$25:$L$27</c:f>
              <c:numCache>
                <c:formatCode>General</c:formatCode>
                <c:ptCount val="3"/>
                <c:pt idx="0">
                  <c:v>1</c:v>
                </c:pt>
                <c:pt idx="1">
                  <c:v>11.400000000000002</c:v>
                </c:pt>
                <c:pt idx="2">
                  <c:v>10</c:v>
                </c:pt>
              </c:numCache>
            </c:numRef>
          </c:yVal>
          <c:smooth val="1"/>
          <c:extLst>
            <c:ext xmlns:c16="http://schemas.microsoft.com/office/drawing/2014/chart" uri="{C3380CC4-5D6E-409C-BE32-E72D297353CC}">
              <c16:uniqueId val="{0000001F-D096-41DE-AC67-801C12AE0ED5}"/>
            </c:ext>
          </c:extLst>
        </c:ser>
        <c:ser>
          <c:idx val="10"/>
          <c:order val="4"/>
          <c:spPr>
            <a:ln w="38100">
              <a:solidFill>
                <a:srgbClr val="00B0F0"/>
              </a:solidFill>
              <a:prstDash val="sysDash"/>
            </a:ln>
          </c:spPr>
          <c:marker>
            <c:symbol val="none"/>
          </c:marker>
          <c:xVal>
            <c:numRef>
              <c:f>'Endgun models'!$K$12:$K$28</c:f>
              <c:numCache>
                <c:formatCode>General</c:formatCode>
                <c:ptCount val="17"/>
                <c:pt idx="0">
                  <c:v>6.0892249188321248</c:v>
                </c:pt>
                <c:pt idx="1">
                  <c:v>8.1189665584428337</c:v>
                </c:pt>
                <c:pt idx="2">
                  <c:v>4.0594832792214168</c:v>
                </c:pt>
                <c:pt idx="3">
                  <c:v>0</c:v>
                </c:pt>
                <c:pt idx="12">
                  <c:v>0</c:v>
                </c:pt>
                <c:pt idx="13">
                  <c:v>19.485519740262799</c:v>
                </c:pt>
                <c:pt idx="14">
                  <c:v>9.7427598701313993</c:v>
                </c:pt>
                <c:pt idx="15">
                  <c:v>0</c:v>
                </c:pt>
                <c:pt idx="16">
                  <c:v>0</c:v>
                </c:pt>
              </c:numCache>
            </c:numRef>
          </c:xVal>
          <c:yVal>
            <c:numRef>
              <c:f>'Endgun models'!$L$12:$L$28</c:f>
              <c:numCache>
                <c:formatCode>General</c:formatCode>
                <c:ptCount val="17"/>
                <c:pt idx="0">
                  <c:v>11.200000000000003</c:v>
                </c:pt>
                <c:pt idx="1">
                  <c:v>1</c:v>
                </c:pt>
                <c:pt idx="2">
                  <c:v>11.000000000000004</c:v>
                </c:pt>
                <c:pt idx="3">
                  <c:v>10</c:v>
                </c:pt>
                <c:pt idx="12">
                  <c:v>10</c:v>
                </c:pt>
                <c:pt idx="13">
                  <c:v>1</c:v>
                </c:pt>
                <c:pt idx="14">
                  <c:v>11.400000000000002</c:v>
                </c:pt>
                <c:pt idx="15">
                  <c:v>10</c:v>
                </c:pt>
                <c:pt idx="16">
                  <c:v>10</c:v>
                </c:pt>
              </c:numCache>
            </c:numRef>
          </c:yVal>
          <c:smooth val="1"/>
          <c:extLst>
            <c:ext xmlns:c16="http://schemas.microsoft.com/office/drawing/2014/chart" uri="{C3380CC4-5D6E-409C-BE32-E72D297353CC}">
              <c16:uniqueId val="{00000020-D096-41DE-AC67-801C12AE0ED5}"/>
            </c:ext>
          </c:extLst>
        </c:ser>
        <c:ser>
          <c:idx val="11"/>
          <c:order val="5"/>
          <c:spPr>
            <a:ln>
              <a:solidFill>
                <a:srgbClr val="00B0F0"/>
              </a:solidFill>
              <a:prstDash val="sysDash"/>
            </a:ln>
          </c:spPr>
          <c:marker>
            <c:symbol val="none"/>
          </c:marker>
          <c:dPt>
            <c:idx val="0"/>
            <c:bubble3D val="0"/>
            <c:spPr>
              <a:ln w="38100" cap="rnd">
                <a:solidFill>
                  <a:srgbClr val="00B0F0"/>
                </a:solidFill>
                <a:prstDash val="sysDash"/>
                <a:round/>
              </a:ln>
              <a:effectLst/>
            </c:spPr>
            <c:extLst>
              <c:ext xmlns:c16="http://schemas.microsoft.com/office/drawing/2014/chart" uri="{C3380CC4-5D6E-409C-BE32-E72D297353CC}">
                <c16:uniqueId val="{00000022-D096-41DE-AC67-801C12AE0ED5}"/>
              </c:ext>
            </c:extLst>
          </c:dPt>
          <c:dPt>
            <c:idx val="1"/>
            <c:bubble3D val="0"/>
            <c:spPr>
              <a:ln w="38100" cap="rnd">
                <a:solidFill>
                  <a:srgbClr val="00B0F0"/>
                </a:solidFill>
                <a:prstDash val="sysDash"/>
                <a:round/>
              </a:ln>
              <a:effectLst/>
            </c:spPr>
            <c:extLst>
              <c:ext xmlns:c16="http://schemas.microsoft.com/office/drawing/2014/chart" uri="{C3380CC4-5D6E-409C-BE32-E72D297353CC}">
                <c16:uniqueId val="{00000023-D096-41DE-AC67-801C12AE0ED5}"/>
              </c:ext>
            </c:extLst>
          </c:dPt>
          <c:xVal>
            <c:numRef>
              <c:f>'Endgun models'!$K$13:$K$15</c:f>
              <c:numCache>
                <c:formatCode>General</c:formatCode>
                <c:ptCount val="3"/>
                <c:pt idx="0">
                  <c:v>8.1189665584428337</c:v>
                </c:pt>
                <c:pt idx="1">
                  <c:v>4.0594832792214168</c:v>
                </c:pt>
                <c:pt idx="2">
                  <c:v>0</c:v>
                </c:pt>
              </c:numCache>
            </c:numRef>
          </c:xVal>
          <c:yVal>
            <c:numRef>
              <c:f>'Endgun models'!$L$13:$L$15</c:f>
              <c:numCache>
                <c:formatCode>General</c:formatCode>
                <c:ptCount val="3"/>
                <c:pt idx="0">
                  <c:v>1</c:v>
                </c:pt>
                <c:pt idx="1">
                  <c:v>11.000000000000004</c:v>
                </c:pt>
                <c:pt idx="2">
                  <c:v>10</c:v>
                </c:pt>
              </c:numCache>
            </c:numRef>
          </c:yVal>
          <c:smooth val="1"/>
          <c:extLst>
            <c:ext xmlns:c16="http://schemas.microsoft.com/office/drawing/2014/chart" uri="{C3380CC4-5D6E-409C-BE32-E72D297353CC}">
              <c16:uniqueId val="{00000021-D096-41DE-AC67-801C12AE0ED5}"/>
            </c:ext>
          </c:extLst>
        </c:ser>
        <c:ser>
          <c:idx val="0"/>
          <c:order val="6"/>
          <c:spPr>
            <a:ln w="38100" cap="rnd">
              <a:solidFill>
                <a:srgbClr val="00B0F0"/>
              </a:solidFill>
              <a:prstDash val="sysDash"/>
              <a:round/>
            </a:ln>
            <a:effectLst/>
          </c:spPr>
          <c:marker>
            <c:symbol val="none"/>
          </c:marker>
          <c:dLbls>
            <c:dLbl>
              <c:idx val="0"/>
              <c:layout>
                <c:manualLayout>
                  <c:x val="3.7453040704022666E-2"/>
                  <c:y val="-7.3701899536892559E-2"/>
                </c:manualLayout>
              </c:layout>
              <c:tx>
                <c:rich>
                  <a:bodyPr/>
                  <a:lstStyle/>
                  <a:p>
                    <a:fld id="{45F25BED-3981-4193-91BA-E89B4BEE624B}" type="CELLRANGE">
                      <a:rPr lang="en-US"/>
                      <a:pPr/>
                      <a:t>[CELLRANGE]</a:t>
                    </a:fld>
                    <a:endParaRPr lang="en-AU"/>
                  </a:p>
                </c:rich>
              </c:tx>
              <c:showLegendKey val="0"/>
              <c:showVal val="0"/>
              <c:showCatName val="0"/>
              <c:showSerName val="0"/>
              <c:showPercent val="0"/>
              <c:showBubbleSize val="0"/>
              <c:extLst>
                <c:ext xmlns:c15="http://schemas.microsoft.com/office/drawing/2012/chart" uri="{CE6537A1-D6FC-4f65-9D91-7224C49458BB}">
                  <c15:layout>
                    <c:manualLayout>
                      <c:w val="0.29899495709103779"/>
                      <c:h val="0.1673030685979067"/>
                    </c:manualLayout>
                  </c15:layout>
                  <c15:dlblFieldTable/>
                  <c15:showDataLabelsRange val="1"/>
                </c:ext>
                <c:ext xmlns:c16="http://schemas.microsoft.com/office/drawing/2014/chart" uri="{C3380CC4-5D6E-409C-BE32-E72D297353CC}">
                  <c16:uniqueId val="{00000008-D096-41DE-AC67-801C12AE0ED5}"/>
                </c:ext>
              </c:extLst>
            </c:dLbl>
            <c:dLbl>
              <c:idx val="1"/>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096-41DE-AC67-801C12AE0ED5}"/>
                </c:ext>
              </c:extLst>
            </c:dLbl>
            <c:dLbl>
              <c:idx val="2"/>
              <c:tx>
                <c:rich>
                  <a:bodyPr/>
                  <a:lstStyle/>
                  <a:p>
                    <a:endParaRPr lang="en-AU"/>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096-41DE-AC67-801C12AE0ED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og"/>
            <c:dispRSqr val="0"/>
            <c:dispEq val="0"/>
          </c:trendline>
          <c:trendline>
            <c:spPr>
              <a:ln w="19050" cap="rnd">
                <a:solidFill>
                  <a:schemeClr val="accent1"/>
                </a:solidFill>
                <a:prstDash val="sysDot"/>
              </a:ln>
              <a:effectLst/>
            </c:spPr>
            <c:trendlineType val="power"/>
            <c:dispRSqr val="0"/>
            <c:dispEq val="0"/>
          </c:trendline>
          <c:xVal>
            <c:numRef>
              <c:f>'Endgun models'!$K$4:$K$6</c:f>
              <c:numCache>
                <c:formatCode>General</c:formatCode>
                <c:ptCount val="3"/>
                <c:pt idx="0" formatCode="0.0">
                  <c:v>48.713799350656998</c:v>
                </c:pt>
                <c:pt idx="1">
                  <c:v>24.356899675328499</c:v>
                </c:pt>
                <c:pt idx="2">
                  <c:v>0</c:v>
                </c:pt>
              </c:numCache>
            </c:numRef>
          </c:xVal>
          <c:yVal>
            <c:numRef>
              <c:f>'Endgun models'!$L$4:$L$6</c:f>
              <c:numCache>
                <c:formatCode>General</c:formatCode>
                <c:ptCount val="3"/>
                <c:pt idx="0">
                  <c:v>1</c:v>
                </c:pt>
                <c:pt idx="1">
                  <c:v>12</c:v>
                </c:pt>
                <c:pt idx="2">
                  <c:v>10</c:v>
                </c:pt>
              </c:numCache>
            </c:numRef>
          </c:yVal>
          <c:smooth val="1"/>
          <c:extLst>
            <c:ext xmlns:c15="http://schemas.microsoft.com/office/drawing/2012/chart" uri="{02D57815-91ED-43cb-92C2-25804820EDAC}">
              <c15:datalabelsRange>
                <c15:f>'Endgun models'!$M$4</c15:f>
                <c15:dlblRangeCache>
                  <c:ptCount val="1"/>
                  <c:pt idx="0">
                    <c:v>48.7 m</c:v>
                  </c:pt>
                </c15:dlblRangeCache>
              </c15:datalabelsRange>
            </c:ext>
            <c:ext xmlns:c16="http://schemas.microsoft.com/office/drawing/2014/chart" uri="{C3380CC4-5D6E-409C-BE32-E72D297353CC}">
              <c16:uniqueId val="{0000000D-D096-41DE-AC67-801C12AE0ED5}"/>
            </c:ext>
          </c:extLst>
        </c:ser>
        <c:ser>
          <c:idx val="1"/>
          <c:order val="7"/>
          <c:spPr>
            <a:ln w="38100" cap="rnd">
              <a:solidFill>
                <a:srgbClr val="00B0F0"/>
              </a:solidFill>
              <a:prstDash val="sysDash"/>
              <a:round/>
            </a:ln>
            <a:effectLst/>
          </c:spPr>
          <c:marker>
            <c:symbol val="none"/>
          </c:marker>
          <c:xVal>
            <c:numRef>
              <c:f>'Endgun models'!$K$7:$K$9</c:f>
              <c:numCache>
                <c:formatCode>General</c:formatCode>
                <c:ptCount val="3"/>
                <c:pt idx="0">
                  <c:v>38.971039480525597</c:v>
                </c:pt>
                <c:pt idx="1">
                  <c:v>19.485519740262799</c:v>
                </c:pt>
                <c:pt idx="2">
                  <c:v>0</c:v>
                </c:pt>
              </c:numCache>
            </c:numRef>
          </c:xVal>
          <c:yVal>
            <c:numRef>
              <c:f>'Endgun models'!$L$7:$L$9</c:f>
              <c:numCache>
                <c:formatCode>General</c:formatCode>
                <c:ptCount val="3"/>
                <c:pt idx="0">
                  <c:v>1</c:v>
                </c:pt>
                <c:pt idx="1">
                  <c:v>11.8</c:v>
                </c:pt>
                <c:pt idx="2">
                  <c:v>10</c:v>
                </c:pt>
              </c:numCache>
            </c:numRef>
          </c:yVal>
          <c:smooth val="1"/>
          <c:extLst>
            <c:ext xmlns:c16="http://schemas.microsoft.com/office/drawing/2014/chart" uri="{C3380CC4-5D6E-409C-BE32-E72D297353CC}">
              <c16:uniqueId val="{0000000F-D096-41DE-AC67-801C12AE0ED5}"/>
            </c:ext>
          </c:extLst>
        </c:ser>
        <c:ser>
          <c:idx val="2"/>
          <c:order val="8"/>
          <c:spPr>
            <a:ln w="38100" cap="rnd">
              <a:solidFill>
                <a:srgbClr val="00B0F0"/>
              </a:solidFill>
              <a:prstDash val="sysDash"/>
              <a:round/>
            </a:ln>
            <a:effectLst/>
          </c:spPr>
          <c:marker>
            <c:symbol val="none"/>
          </c:marker>
          <c:xVal>
            <c:numRef>
              <c:f>'Endgun models'!$K$10:$K$24</c:f>
              <c:numCache>
                <c:formatCode>General</c:formatCode>
                <c:ptCount val="15"/>
                <c:pt idx="0">
                  <c:v>27.836456771803999</c:v>
                </c:pt>
                <c:pt idx="1">
                  <c:v>13.918228385901999</c:v>
                </c:pt>
                <c:pt idx="2">
                  <c:v>6.0892249188321248</c:v>
                </c:pt>
                <c:pt idx="3">
                  <c:v>8.1189665584428337</c:v>
                </c:pt>
                <c:pt idx="4">
                  <c:v>4.0594832792214168</c:v>
                </c:pt>
                <c:pt idx="5">
                  <c:v>0</c:v>
                </c:pt>
                <c:pt idx="14">
                  <c:v>0</c:v>
                </c:pt>
              </c:numCache>
            </c:numRef>
          </c:xVal>
          <c:yVal>
            <c:numRef>
              <c:f>'Endgun models'!$L$10:$L$24</c:f>
              <c:numCache>
                <c:formatCode>General</c:formatCode>
                <c:ptCount val="15"/>
                <c:pt idx="0">
                  <c:v>1</c:v>
                </c:pt>
                <c:pt idx="1">
                  <c:v>11.600000000000001</c:v>
                </c:pt>
                <c:pt idx="2">
                  <c:v>11.200000000000003</c:v>
                </c:pt>
                <c:pt idx="3">
                  <c:v>1</c:v>
                </c:pt>
                <c:pt idx="4">
                  <c:v>11.000000000000004</c:v>
                </c:pt>
                <c:pt idx="5">
                  <c:v>10</c:v>
                </c:pt>
                <c:pt idx="14">
                  <c:v>10</c:v>
                </c:pt>
              </c:numCache>
            </c:numRef>
          </c:yVal>
          <c:smooth val="1"/>
          <c:extLst>
            <c:ext xmlns:c16="http://schemas.microsoft.com/office/drawing/2014/chart" uri="{C3380CC4-5D6E-409C-BE32-E72D297353CC}">
              <c16:uniqueId val="{00000011-D096-41DE-AC67-801C12AE0ED5}"/>
            </c:ext>
          </c:extLst>
        </c:ser>
        <c:ser>
          <c:idx val="3"/>
          <c:order val="9"/>
          <c:spPr>
            <a:ln w="38100" cap="rnd">
              <a:solidFill>
                <a:srgbClr val="00B0F0"/>
              </a:solidFill>
              <a:prstDash val="sysDash"/>
              <a:round/>
            </a:ln>
            <a:effectLst/>
          </c:spPr>
          <c:marker>
            <c:symbol val="none"/>
          </c:marker>
          <c:xVal>
            <c:numRef>
              <c:f>'Endgun models'!$K$25:$K$27</c:f>
              <c:numCache>
                <c:formatCode>General</c:formatCode>
                <c:ptCount val="3"/>
                <c:pt idx="0">
                  <c:v>19.485519740262799</c:v>
                </c:pt>
                <c:pt idx="1">
                  <c:v>9.7427598701313993</c:v>
                </c:pt>
                <c:pt idx="2">
                  <c:v>0</c:v>
                </c:pt>
              </c:numCache>
            </c:numRef>
          </c:xVal>
          <c:yVal>
            <c:numRef>
              <c:f>'Endgun models'!$L$25:$L$27</c:f>
              <c:numCache>
                <c:formatCode>General</c:formatCode>
                <c:ptCount val="3"/>
                <c:pt idx="0">
                  <c:v>1</c:v>
                </c:pt>
                <c:pt idx="1">
                  <c:v>11.400000000000002</c:v>
                </c:pt>
                <c:pt idx="2">
                  <c:v>10</c:v>
                </c:pt>
              </c:numCache>
            </c:numRef>
          </c:yVal>
          <c:smooth val="1"/>
          <c:extLst>
            <c:ext xmlns:c16="http://schemas.microsoft.com/office/drawing/2014/chart" uri="{C3380CC4-5D6E-409C-BE32-E72D297353CC}">
              <c16:uniqueId val="{00000013-D096-41DE-AC67-801C12AE0ED5}"/>
            </c:ext>
          </c:extLst>
        </c:ser>
        <c:ser>
          <c:idx val="4"/>
          <c:order val="10"/>
          <c:spPr>
            <a:ln w="38100" cap="rnd">
              <a:solidFill>
                <a:srgbClr val="00B0F0"/>
              </a:solidFill>
              <a:prstDash val="sysDash"/>
              <a:round/>
            </a:ln>
            <a:effectLst/>
          </c:spPr>
          <c:marker>
            <c:symbol val="none"/>
          </c:marker>
          <c:xVal>
            <c:numRef>
              <c:f>'Endgun models'!$K$12:$K$28</c:f>
              <c:numCache>
                <c:formatCode>General</c:formatCode>
                <c:ptCount val="17"/>
                <c:pt idx="0">
                  <c:v>6.0892249188321248</c:v>
                </c:pt>
                <c:pt idx="1">
                  <c:v>8.1189665584428337</c:v>
                </c:pt>
                <c:pt idx="2">
                  <c:v>4.0594832792214168</c:v>
                </c:pt>
                <c:pt idx="3">
                  <c:v>0</c:v>
                </c:pt>
                <c:pt idx="12">
                  <c:v>0</c:v>
                </c:pt>
                <c:pt idx="13">
                  <c:v>19.485519740262799</c:v>
                </c:pt>
                <c:pt idx="14">
                  <c:v>9.7427598701313993</c:v>
                </c:pt>
                <c:pt idx="15">
                  <c:v>0</c:v>
                </c:pt>
                <c:pt idx="16">
                  <c:v>0</c:v>
                </c:pt>
              </c:numCache>
            </c:numRef>
          </c:xVal>
          <c:yVal>
            <c:numRef>
              <c:f>'Endgun models'!$L$12:$L$28</c:f>
              <c:numCache>
                <c:formatCode>General</c:formatCode>
                <c:ptCount val="17"/>
                <c:pt idx="0">
                  <c:v>11.200000000000003</c:v>
                </c:pt>
                <c:pt idx="1">
                  <c:v>1</c:v>
                </c:pt>
                <c:pt idx="2">
                  <c:v>11.000000000000004</c:v>
                </c:pt>
                <c:pt idx="3">
                  <c:v>10</c:v>
                </c:pt>
                <c:pt idx="12">
                  <c:v>10</c:v>
                </c:pt>
                <c:pt idx="13">
                  <c:v>1</c:v>
                </c:pt>
                <c:pt idx="14">
                  <c:v>11.400000000000002</c:v>
                </c:pt>
                <c:pt idx="15">
                  <c:v>10</c:v>
                </c:pt>
                <c:pt idx="16">
                  <c:v>10</c:v>
                </c:pt>
              </c:numCache>
            </c:numRef>
          </c:yVal>
          <c:smooth val="1"/>
          <c:extLst>
            <c:ext xmlns:c16="http://schemas.microsoft.com/office/drawing/2014/chart" uri="{C3380CC4-5D6E-409C-BE32-E72D297353CC}">
              <c16:uniqueId val="{00000015-D096-41DE-AC67-801C12AE0ED5}"/>
            </c:ext>
          </c:extLst>
        </c:ser>
        <c:ser>
          <c:idx val="5"/>
          <c:order val="11"/>
          <c:spPr>
            <a:ln w="19050" cap="rnd">
              <a:solidFill>
                <a:srgbClr val="00B0F0"/>
              </a:solidFill>
              <a:prstDash val="sysDash"/>
              <a:round/>
            </a:ln>
            <a:effectLst/>
          </c:spPr>
          <c:marker>
            <c:symbol val="none"/>
          </c:marker>
          <c:dPt>
            <c:idx val="0"/>
            <c:bubble3D val="0"/>
            <c:spPr>
              <a:ln w="38100" cap="rnd">
                <a:solidFill>
                  <a:srgbClr val="00B0F0"/>
                </a:solidFill>
                <a:prstDash val="sysDash"/>
                <a:round/>
              </a:ln>
              <a:effectLst/>
            </c:spPr>
            <c:extLst>
              <c:ext xmlns:c16="http://schemas.microsoft.com/office/drawing/2014/chart" uri="{C3380CC4-5D6E-409C-BE32-E72D297353CC}">
                <c16:uniqueId val="{00000018-D096-41DE-AC67-801C12AE0ED5}"/>
              </c:ext>
            </c:extLst>
          </c:dPt>
          <c:dPt>
            <c:idx val="1"/>
            <c:bubble3D val="0"/>
            <c:spPr>
              <a:ln w="38100" cap="rnd">
                <a:solidFill>
                  <a:srgbClr val="00B0F0"/>
                </a:solidFill>
                <a:prstDash val="sysDash"/>
                <a:round/>
              </a:ln>
              <a:effectLst/>
            </c:spPr>
            <c:extLst>
              <c:ext xmlns:c16="http://schemas.microsoft.com/office/drawing/2014/chart" uri="{C3380CC4-5D6E-409C-BE32-E72D297353CC}">
                <c16:uniqueId val="{0000001A-D096-41DE-AC67-801C12AE0ED5}"/>
              </c:ext>
            </c:extLst>
          </c:dPt>
          <c:xVal>
            <c:numRef>
              <c:f>'Endgun models'!$K$13:$K$15</c:f>
              <c:numCache>
                <c:formatCode>General</c:formatCode>
                <c:ptCount val="3"/>
                <c:pt idx="0">
                  <c:v>8.1189665584428337</c:v>
                </c:pt>
                <c:pt idx="1">
                  <c:v>4.0594832792214168</c:v>
                </c:pt>
                <c:pt idx="2">
                  <c:v>0</c:v>
                </c:pt>
              </c:numCache>
            </c:numRef>
          </c:xVal>
          <c:yVal>
            <c:numRef>
              <c:f>'Endgun models'!$L$13:$L$15</c:f>
              <c:numCache>
                <c:formatCode>General</c:formatCode>
                <c:ptCount val="3"/>
                <c:pt idx="0">
                  <c:v>1</c:v>
                </c:pt>
                <c:pt idx="1">
                  <c:v>11.000000000000004</c:v>
                </c:pt>
                <c:pt idx="2">
                  <c:v>10</c:v>
                </c:pt>
              </c:numCache>
            </c:numRef>
          </c:yVal>
          <c:smooth val="1"/>
          <c:extLst>
            <c:ext xmlns:c16="http://schemas.microsoft.com/office/drawing/2014/chart" uri="{C3380CC4-5D6E-409C-BE32-E72D297353CC}">
              <c16:uniqueId val="{0000001B-D096-41DE-AC67-801C12AE0ED5}"/>
            </c:ext>
          </c:extLst>
        </c:ser>
        <c:dLbls>
          <c:showLegendKey val="0"/>
          <c:showVal val="0"/>
          <c:showCatName val="0"/>
          <c:showSerName val="0"/>
          <c:showPercent val="0"/>
          <c:showBubbleSize val="0"/>
        </c:dLbls>
        <c:axId val="367319440"/>
        <c:axId val="367318128"/>
      </c:scatterChart>
      <c:valAx>
        <c:axId val="367319440"/>
        <c:scaling>
          <c:orientation val="minMax"/>
          <c:max val="70"/>
          <c:min val="0.1"/>
        </c:scaling>
        <c:delete val="0"/>
        <c:axPos val="b"/>
        <c:numFmt formatCode="0" sourceLinked="0"/>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7318128"/>
        <c:crosses val="autoZero"/>
        <c:crossBetween val="midCat"/>
        <c:majorUnit val="10"/>
        <c:minorUnit val="1"/>
      </c:valAx>
      <c:valAx>
        <c:axId val="367318128"/>
        <c:scaling>
          <c:orientation val="minMax"/>
          <c:min val="0"/>
        </c:scaling>
        <c:delete val="1"/>
        <c:axPos val="l"/>
        <c:numFmt formatCode="General" sourceLinked="1"/>
        <c:majorTickMark val="out"/>
        <c:minorTickMark val="none"/>
        <c:tickLblPos val="nextTo"/>
        <c:crossAx val="367319440"/>
        <c:crosses val="autoZero"/>
        <c:crossBetween val="midCat"/>
      </c:valAx>
    </c:plotArea>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Target</a:t>
            </a:r>
          </a:p>
        </c:rich>
      </c:tx>
      <c:layout>
        <c:manualLayout>
          <c:xMode val="edge"/>
          <c:yMode val="edge"/>
          <c:x val="0.47539433386240615"/>
          <c:y val="5.564858720506066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300602457792881E-2"/>
          <c:y val="0"/>
          <c:w val="0.82184397163120571"/>
          <c:h val="0.86292834890965731"/>
        </c:manualLayout>
      </c:layout>
      <c:scatterChart>
        <c:scatterStyle val="smoothMarker"/>
        <c:varyColors val="0"/>
        <c:ser>
          <c:idx val="0"/>
          <c:order val="0"/>
          <c:spPr>
            <a:ln w="38100" cap="rnd">
              <a:solidFill>
                <a:srgbClr val="00B0F0"/>
              </a:solidFill>
              <a:prstDash val="sysDash"/>
              <a:round/>
            </a:ln>
            <a:effectLst/>
          </c:spPr>
          <c:marker>
            <c:symbol val="none"/>
          </c:marker>
          <c:dLbls>
            <c:dLbl>
              <c:idx val="0"/>
              <c:layout>
                <c:manualLayout>
                  <c:x val="-1.1376752556471699E-2"/>
                  <c:y val="-9.274764534176777E-2"/>
                </c:manualLayout>
              </c:layout>
              <c:tx>
                <c:strRef>
                  <c:f>'Endgun models'!$D$35:$D$36</c:f>
                  <c:strCache>
                    <c:ptCount val="2"/>
                    <c:pt idx="0">
                      <c:v>48.75</c:v>
                    </c:pt>
                    <c:pt idx="1">
                      <c:v>m</c:v>
                    </c:pt>
                  </c:strCache>
                </c:strRef>
              </c:tx>
              <c:showLegendKey val="0"/>
              <c:showVal val="1"/>
              <c:showCatName val="0"/>
              <c:showSerName val="0"/>
              <c:showPercent val="0"/>
              <c:showBubbleSize val="0"/>
              <c:extLst>
                <c:ext xmlns:c15="http://schemas.microsoft.com/office/drawing/2012/chart" uri="{CE6537A1-D6FC-4f65-9D91-7224C49458BB}">
                  <c15:layout>
                    <c:manualLayout>
                      <c:w val="0.25726926061759481"/>
                      <c:h val="0.23159087041839413"/>
                    </c:manualLayout>
                  </c15:layout>
                  <c15:dlblFieldTable>
                    <c15:dlblFTEntry>
                      <c15:txfldGUID>{AD7A3232-307F-4D36-93A8-8A25343A3D95}</c15:txfldGUID>
                      <c15:f>'Endgun models'!$D$35:$D$36</c15:f>
                      <c15:dlblFieldTableCache>
                        <c:ptCount val="2"/>
                        <c:pt idx="0">
                          <c:v>48.75</c:v>
                        </c:pt>
                        <c:pt idx="1">
                          <c:v>m</c:v>
                        </c:pt>
                      </c15:dlblFieldTableCache>
                    </c15:dlblFTEntry>
                  </c15:dlblFieldTable>
                  <c15:showDataLabelsRange val="0"/>
                </c:ext>
                <c:ext xmlns:c16="http://schemas.microsoft.com/office/drawing/2014/chart" uri="{C3380CC4-5D6E-409C-BE32-E72D297353CC}">
                  <c16:uniqueId val="{00000000-7186-4C10-986C-2ED770963E6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1"/>
                </a:solidFill>
                <a:prstDash val="sysDot"/>
              </a:ln>
              <a:effectLst/>
            </c:spPr>
            <c:trendlineType val="log"/>
            <c:dispRSqr val="0"/>
            <c:dispEq val="0"/>
          </c:trendline>
          <c:trendline>
            <c:spPr>
              <a:ln w="19050" cap="rnd">
                <a:solidFill>
                  <a:schemeClr val="accent1"/>
                </a:solidFill>
                <a:prstDash val="sysDot"/>
              </a:ln>
              <a:effectLst/>
            </c:spPr>
            <c:trendlineType val="power"/>
            <c:dispRSqr val="0"/>
            <c:dispEq val="0"/>
          </c:trendline>
          <c:xVal>
            <c:numRef>
              <c:f>'Endgun models'!$K$35:$K$37</c:f>
              <c:numCache>
                <c:formatCode>General</c:formatCode>
                <c:ptCount val="3"/>
                <c:pt idx="0" formatCode="0.0">
                  <c:v>48.75</c:v>
                </c:pt>
                <c:pt idx="1">
                  <c:v>24.375</c:v>
                </c:pt>
                <c:pt idx="2">
                  <c:v>0</c:v>
                </c:pt>
              </c:numCache>
            </c:numRef>
          </c:xVal>
          <c:yVal>
            <c:numRef>
              <c:f>'Endgun models'!$L$35:$L$37</c:f>
              <c:numCache>
                <c:formatCode>General</c:formatCode>
                <c:ptCount val="3"/>
                <c:pt idx="0">
                  <c:v>1</c:v>
                </c:pt>
                <c:pt idx="1">
                  <c:v>12</c:v>
                </c:pt>
                <c:pt idx="2">
                  <c:v>10</c:v>
                </c:pt>
              </c:numCache>
            </c:numRef>
          </c:yVal>
          <c:smooth val="1"/>
          <c:extLst>
            <c:ext xmlns:c16="http://schemas.microsoft.com/office/drawing/2014/chart" uri="{C3380CC4-5D6E-409C-BE32-E72D297353CC}">
              <c16:uniqueId val="{00000005-7186-4C10-986C-2ED770963E64}"/>
            </c:ext>
          </c:extLst>
        </c:ser>
        <c:ser>
          <c:idx val="1"/>
          <c:order val="1"/>
          <c:spPr>
            <a:ln w="38100" cap="rnd">
              <a:solidFill>
                <a:srgbClr val="00B0F0"/>
              </a:solidFill>
              <a:prstDash val="sysDash"/>
              <a:round/>
            </a:ln>
            <a:effectLst/>
          </c:spPr>
          <c:marker>
            <c:symbol val="none"/>
          </c:marker>
          <c:xVal>
            <c:numRef>
              <c:f>'Endgun models'!$K$38:$K$40</c:f>
              <c:numCache>
                <c:formatCode>General</c:formatCode>
                <c:ptCount val="3"/>
                <c:pt idx="0">
                  <c:v>39</c:v>
                </c:pt>
                <c:pt idx="1">
                  <c:v>19.5</c:v>
                </c:pt>
                <c:pt idx="2">
                  <c:v>0</c:v>
                </c:pt>
              </c:numCache>
            </c:numRef>
          </c:xVal>
          <c:yVal>
            <c:numRef>
              <c:f>'Endgun models'!$L$38:$L$40</c:f>
              <c:numCache>
                <c:formatCode>General</c:formatCode>
                <c:ptCount val="3"/>
                <c:pt idx="0">
                  <c:v>1</c:v>
                </c:pt>
                <c:pt idx="1">
                  <c:v>11.8</c:v>
                </c:pt>
                <c:pt idx="2">
                  <c:v>10</c:v>
                </c:pt>
              </c:numCache>
            </c:numRef>
          </c:yVal>
          <c:smooth val="1"/>
          <c:extLst>
            <c:ext xmlns:c16="http://schemas.microsoft.com/office/drawing/2014/chart" uri="{C3380CC4-5D6E-409C-BE32-E72D297353CC}">
              <c16:uniqueId val="{00000006-7186-4C10-986C-2ED770963E64}"/>
            </c:ext>
          </c:extLst>
        </c:ser>
        <c:ser>
          <c:idx val="2"/>
          <c:order val="2"/>
          <c:spPr>
            <a:ln w="38100" cap="rnd">
              <a:solidFill>
                <a:srgbClr val="00B0F0"/>
              </a:solidFill>
              <a:prstDash val="sysDash"/>
              <a:round/>
            </a:ln>
            <a:effectLst/>
          </c:spPr>
          <c:marker>
            <c:symbol val="none"/>
          </c:marker>
          <c:xVal>
            <c:numRef>
              <c:f>'Endgun models'!$K$41:$K$43</c:f>
              <c:numCache>
                <c:formatCode>General</c:formatCode>
                <c:ptCount val="3"/>
                <c:pt idx="0">
                  <c:v>27.857142857142858</c:v>
                </c:pt>
                <c:pt idx="1">
                  <c:v>13.928571428571429</c:v>
                </c:pt>
                <c:pt idx="2">
                  <c:v>0</c:v>
                </c:pt>
              </c:numCache>
            </c:numRef>
          </c:xVal>
          <c:yVal>
            <c:numRef>
              <c:f>'Endgun models'!$L$41:$L$43</c:f>
              <c:numCache>
                <c:formatCode>General</c:formatCode>
                <c:ptCount val="3"/>
                <c:pt idx="0">
                  <c:v>1</c:v>
                </c:pt>
                <c:pt idx="1">
                  <c:v>11.600000000000001</c:v>
                </c:pt>
                <c:pt idx="2">
                  <c:v>10</c:v>
                </c:pt>
              </c:numCache>
            </c:numRef>
          </c:yVal>
          <c:smooth val="1"/>
          <c:extLst>
            <c:ext xmlns:c16="http://schemas.microsoft.com/office/drawing/2014/chart" uri="{C3380CC4-5D6E-409C-BE32-E72D297353CC}">
              <c16:uniqueId val="{00000007-7186-4C10-986C-2ED770963E64}"/>
            </c:ext>
          </c:extLst>
        </c:ser>
        <c:ser>
          <c:idx val="3"/>
          <c:order val="3"/>
          <c:spPr>
            <a:ln w="38100" cap="rnd">
              <a:solidFill>
                <a:srgbClr val="00B0F0"/>
              </a:solidFill>
              <a:prstDash val="sysDash"/>
              <a:round/>
            </a:ln>
            <a:effectLst/>
          </c:spPr>
          <c:marker>
            <c:symbol val="none"/>
          </c:marker>
          <c:xVal>
            <c:numRef>
              <c:f>'Endgun models'!$K$44:$K$46</c:f>
              <c:numCache>
                <c:formatCode>General</c:formatCode>
                <c:ptCount val="3"/>
                <c:pt idx="0">
                  <c:v>19.5</c:v>
                </c:pt>
                <c:pt idx="1">
                  <c:v>9.75</c:v>
                </c:pt>
                <c:pt idx="2">
                  <c:v>0</c:v>
                </c:pt>
              </c:numCache>
            </c:numRef>
          </c:xVal>
          <c:yVal>
            <c:numRef>
              <c:f>'Endgun models'!$L$44:$L$46</c:f>
              <c:numCache>
                <c:formatCode>General</c:formatCode>
                <c:ptCount val="3"/>
                <c:pt idx="0">
                  <c:v>1</c:v>
                </c:pt>
                <c:pt idx="1">
                  <c:v>11.400000000000002</c:v>
                </c:pt>
                <c:pt idx="2">
                  <c:v>10</c:v>
                </c:pt>
              </c:numCache>
            </c:numRef>
          </c:yVal>
          <c:smooth val="1"/>
          <c:extLst>
            <c:ext xmlns:c16="http://schemas.microsoft.com/office/drawing/2014/chart" uri="{C3380CC4-5D6E-409C-BE32-E72D297353CC}">
              <c16:uniqueId val="{00000008-7186-4C10-986C-2ED770963E64}"/>
            </c:ext>
          </c:extLst>
        </c:ser>
        <c:ser>
          <c:idx val="4"/>
          <c:order val="4"/>
          <c:spPr>
            <a:ln w="38100" cap="rnd">
              <a:solidFill>
                <a:srgbClr val="00B0F0"/>
              </a:solidFill>
              <a:prstDash val="sysDash"/>
              <a:round/>
            </a:ln>
            <a:effectLst/>
          </c:spPr>
          <c:marker>
            <c:symbol val="none"/>
          </c:marker>
          <c:xVal>
            <c:numRef>
              <c:f>'Endgun models'!$K$47:$K$49</c:f>
              <c:numCache>
                <c:formatCode>General</c:formatCode>
                <c:ptCount val="3"/>
                <c:pt idx="0">
                  <c:v>12.1875</c:v>
                </c:pt>
                <c:pt idx="1">
                  <c:v>6.09375</c:v>
                </c:pt>
                <c:pt idx="2">
                  <c:v>0</c:v>
                </c:pt>
              </c:numCache>
            </c:numRef>
          </c:xVal>
          <c:yVal>
            <c:numRef>
              <c:f>'Endgun models'!$L$47:$L$49</c:f>
              <c:numCache>
                <c:formatCode>General</c:formatCode>
                <c:ptCount val="3"/>
                <c:pt idx="0">
                  <c:v>1</c:v>
                </c:pt>
                <c:pt idx="1">
                  <c:v>11.200000000000003</c:v>
                </c:pt>
                <c:pt idx="2">
                  <c:v>10</c:v>
                </c:pt>
              </c:numCache>
            </c:numRef>
          </c:yVal>
          <c:smooth val="1"/>
          <c:extLst>
            <c:ext xmlns:c16="http://schemas.microsoft.com/office/drawing/2014/chart" uri="{C3380CC4-5D6E-409C-BE32-E72D297353CC}">
              <c16:uniqueId val="{00000009-7186-4C10-986C-2ED770963E64}"/>
            </c:ext>
          </c:extLst>
        </c:ser>
        <c:ser>
          <c:idx val="5"/>
          <c:order val="5"/>
          <c:spPr>
            <a:ln w="38100" cap="rnd">
              <a:solidFill>
                <a:srgbClr val="00B0F0"/>
              </a:solidFill>
              <a:prstDash val="sysDash"/>
              <a:round/>
            </a:ln>
            <a:effectLst/>
          </c:spPr>
          <c:marker>
            <c:symbol val="none"/>
          </c:marker>
          <c:xVal>
            <c:numRef>
              <c:f>'Endgun models'!$K$50:$K$52</c:f>
              <c:numCache>
                <c:formatCode>General</c:formatCode>
                <c:ptCount val="3"/>
                <c:pt idx="0">
                  <c:v>8.125</c:v>
                </c:pt>
                <c:pt idx="1">
                  <c:v>4.0625</c:v>
                </c:pt>
                <c:pt idx="2">
                  <c:v>0</c:v>
                </c:pt>
              </c:numCache>
            </c:numRef>
          </c:xVal>
          <c:yVal>
            <c:numRef>
              <c:f>'Endgun models'!$L$50:$L$52</c:f>
              <c:numCache>
                <c:formatCode>General</c:formatCode>
                <c:ptCount val="3"/>
                <c:pt idx="0">
                  <c:v>1</c:v>
                </c:pt>
                <c:pt idx="1">
                  <c:v>11.000000000000004</c:v>
                </c:pt>
                <c:pt idx="2">
                  <c:v>10</c:v>
                </c:pt>
              </c:numCache>
            </c:numRef>
          </c:yVal>
          <c:smooth val="1"/>
          <c:extLst>
            <c:ext xmlns:c16="http://schemas.microsoft.com/office/drawing/2014/chart" uri="{C3380CC4-5D6E-409C-BE32-E72D297353CC}">
              <c16:uniqueId val="{0000000E-7186-4C10-986C-2ED770963E64}"/>
            </c:ext>
          </c:extLst>
        </c:ser>
        <c:dLbls>
          <c:showLegendKey val="0"/>
          <c:showVal val="0"/>
          <c:showCatName val="0"/>
          <c:showSerName val="0"/>
          <c:showPercent val="0"/>
          <c:showBubbleSize val="0"/>
        </c:dLbls>
        <c:axId val="367319440"/>
        <c:axId val="367318128"/>
      </c:scatterChart>
      <c:valAx>
        <c:axId val="367319440"/>
        <c:scaling>
          <c:orientation val="minMax"/>
          <c:max val="70"/>
          <c:min val="0.1"/>
        </c:scaling>
        <c:delete val="0"/>
        <c:axPos val="b"/>
        <c:numFmt formatCode="0" sourceLinked="0"/>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7318128"/>
        <c:crosses val="autoZero"/>
        <c:crossBetween val="midCat"/>
        <c:majorUnit val="10"/>
        <c:minorUnit val="1"/>
      </c:valAx>
      <c:valAx>
        <c:axId val="367318128"/>
        <c:scaling>
          <c:orientation val="minMax"/>
          <c:min val="0"/>
        </c:scaling>
        <c:delete val="1"/>
        <c:axPos val="l"/>
        <c:numFmt formatCode="General" sourceLinked="1"/>
        <c:majorTickMark val="out"/>
        <c:minorTickMark val="none"/>
        <c:tickLblPos val="nextTo"/>
        <c:crossAx val="36731944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Breakdown of current pumping costs</a:t>
            </a:r>
            <a:r>
              <a:rPr lang="en-AU" baseline="0"/>
              <a:t> (</a:t>
            </a:r>
            <a:r>
              <a:rPr lang="en-AU"/>
              <a:t>$/year)</a:t>
            </a:r>
          </a:p>
        </c:rich>
      </c:tx>
      <c:overlay val="1"/>
      <c:spPr>
        <a:noFill/>
        <a:ln>
          <a:noFill/>
        </a:ln>
        <a:effectLst/>
      </c:sp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1550582383348758"/>
          <c:y val="0.28541879562022593"/>
          <c:w val="0.70794200248518346"/>
          <c:h val="0.57355637733584031"/>
        </c:manualLayout>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016E-4386-AFC6-14566A60EC5D}"/>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016E-4386-AFC6-14566A60EC5D}"/>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016E-4386-AFC6-14566A60EC5D}"/>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016E-4386-AFC6-14566A60EC5D}"/>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016E-4386-AFC6-14566A60EC5D}"/>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016E-4386-AFC6-14566A60EC5D}"/>
              </c:ext>
            </c:extLst>
          </c:dPt>
          <c:dLbls>
            <c:dLbl>
              <c:idx val="0"/>
              <c:layout>
                <c:manualLayout>
                  <c:x val="-9.894867037724181E-2"/>
                  <c:y val="-5.227098596186848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16E-4386-AFC6-14566A60EC5D}"/>
                </c:ext>
              </c:extLst>
            </c:dLbl>
            <c:dLbl>
              <c:idx val="1"/>
              <c:layout>
                <c:manualLayout>
                  <c:x val="-2.4737167594310453E-3"/>
                  <c:y val="-6.4333521183838116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16E-4386-AFC6-14566A60EC5D}"/>
                </c:ext>
              </c:extLst>
            </c:dLbl>
            <c:dLbl>
              <c:idx val="2"/>
              <c:layout>
                <c:manualLayout>
                  <c:x val="0.19542362399505256"/>
                  <c:y val="-6.8354366257827981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16E-4386-AFC6-14566A60EC5D}"/>
                </c:ext>
              </c:extLst>
            </c:dLbl>
            <c:dLbl>
              <c:idx val="3"/>
              <c:layout>
                <c:manualLayout>
                  <c:x val="0.16326530612244888"/>
                  <c:y val="2.010422536994937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16E-4386-AFC6-14566A60EC5D}"/>
                </c:ext>
              </c:extLst>
            </c:dLbl>
            <c:dLbl>
              <c:idx val="4"/>
              <c:layout>
                <c:manualLayout>
                  <c:x val="-0.16247580225397254"/>
                  <c:y val="8.8399370257313675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16E-4386-AFC6-14566A60EC5D}"/>
                </c:ext>
              </c:extLst>
            </c:dLbl>
            <c:spPr>
              <a:noFill/>
              <a:ln>
                <a:noFill/>
              </a:ln>
              <a:effectLst/>
            </c:spPr>
            <c:dLblPos val="outEnd"/>
            <c:showLegendKey val="0"/>
            <c:showVal val="1"/>
            <c:showCatName val="1"/>
            <c:showSerName val="0"/>
            <c:showPercent val="1"/>
            <c:showBubbleSize val="0"/>
            <c:showLeaderLines val="1"/>
            <c:extLst>
              <c:ext xmlns:c15="http://schemas.microsoft.com/office/drawing/2012/chart" uri="{CE6537A1-D6FC-4f65-9D91-7224C49458BB}"/>
            </c:extLst>
          </c:dLbls>
          <c:cat>
            <c:strRef>
              <c:f>'STEP 2 Detailed analysis'!$AE$5:$AE$10</c:f>
              <c:strCache>
                <c:ptCount val="6"/>
                <c:pt idx="0">
                  <c:v>Static head</c:v>
                </c:pt>
                <c:pt idx="1">
                  <c:v>Main line</c:v>
                </c:pt>
                <c:pt idx="2">
                  <c:v>Irrigator hose</c:v>
                </c:pt>
                <c:pt idx="3">
                  <c:v>Irrigator</c:v>
                </c:pt>
                <c:pt idx="4">
                  <c:v>Pump inefficiency</c:v>
                </c:pt>
                <c:pt idx="5">
                  <c:v>Motor inefficiency</c:v>
                </c:pt>
              </c:strCache>
            </c:strRef>
          </c:cat>
          <c:val>
            <c:numRef>
              <c:f>'STEP 2 Detailed analysis'!$AO$5:$AO$10</c:f>
              <c:numCache>
                <c:formatCode>_-"$"* #,##0;\-"$"* #,##0;_-"$"* "-"??;_-@_-</c:formatCode>
                <c:ptCount val="6"/>
                <c:pt idx="0">
                  <c:v>0</c:v>
                </c:pt>
                <c:pt idx="1">
                  <c:v>2723.3729562311478</c:v>
                </c:pt>
                <c:pt idx="2">
                  <c:v>2178.6983649849185</c:v>
                </c:pt>
                <c:pt idx="3">
                  <c:v>11438.166416170821</c:v>
                </c:pt>
                <c:pt idx="4">
                  <c:v>12065.490262613175</c:v>
                </c:pt>
                <c:pt idx="5">
                  <c:v>1942.2720000000063</c:v>
                </c:pt>
              </c:numCache>
            </c:numRef>
          </c:val>
          <c:extLst>
            <c:ext xmlns:c16="http://schemas.microsoft.com/office/drawing/2014/chart" uri="{C3380CC4-5D6E-409C-BE32-E72D297353CC}">
              <c16:uniqueId val="{0000000C-016E-4386-AFC6-14566A60EC5D}"/>
            </c:ext>
          </c:extLst>
        </c:ser>
        <c:ser>
          <c:idx val="1"/>
          <c:order val="1"/>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E-016E-4386-AFC6-14566A60EC5D}"/>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10-016E-4386-AFC6-14566A60EC5D}"/>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12-016E-4386-AFC6-14566A60EC5D}"/>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14-016E-4386-AFC6-14566A60EC5D}"/>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16-016E-4386-AFC6-14566A60EC5D}"/>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18-016E-4386-AFC6-14566A60EC5D}"/>
              </c:ext>
            </c:extLst>
          </c:dPt>
          <c:cat>
            <c:strRef>
              <c:f>'STEP 2 Detailed analysis'!$AE$5:$AE$10</c:f>
              <c:strCache>
                <c:ptCount val="6"/>
                <c:pt idx="0">
                  <c:v>Static head</c:v>
                </c:pt>
                <c:pt idx="1">
                  <c:v>Main line</c:v>
                </c:pt>
                <c:pt idx="2">
                  <c:v>Irrigator hose</c:v>
                </c:pt>
                <c:pt idx="3">
                  <c:v>Irrigator</c:v>
                </c:pt>
                <c:pt idx="4">
                  <c:v>Pump inefficiency</c:v>
                </c:pt>
                <c:pt idx="5">
                  <c:v>Motor inefficiency</c:v>
                </c:pt>
              </c:strCache>
            </c:strRef>
          </c:cat>
          <c:val>
            <c:numRef>
              <c:f>'STEP 2 Detailed analysis'!$AN$5:$AN$10</c:f>
              <c:numCache>
                <c:formatCode>0.0</c:formatCode>
                <c:ptCount val="6"/>
                <c:pt idx="0">
                  <c:v>0</c:v>
                </c:pt>
                <c:pt idx="1">
                  <c:v>6.8084323905778694</c:v>
                </c:pt>
                <c:pt idx="2">
                  <c:v>5.4467459124622968</c:v>
                </c:pt>
                <c:pt idx="3">
                  <c:v>28.595416040427054</c:v>
                </c:pt>
                <c:pt idx="4">
                  <c:v>30.163725656532936</c:v>
                </c:pt>
                <c:pt idx="5">
                  <c:v>4.8556800000000155</c:v>
                </c:pt>
              </c:numCache>
            </c:numRef>
          </c:val>
          <c:extLst>
            <c:ext xmlns:c16="http://schemas.microsoft.com/office/drawing/2014/chart" uri="{C3380CC4-5D6E-409C-BE32-E72D297353CC}">
              <c16:uniqueId val="{00000019-016E-4386-AFC6-14566A60EC5D}"/>
            </c:ext>
          </c:extLst>
        </c:ser>
        <c:dLbls>
          <c:showLegendKey val="0"/>
          <c:showVal val="0"/>
          <c:showCatName val="0"/>
          <c:showSerName val="0"/>
          <c:showPercent val="0"/>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AU" sz="1200" b="0" i="0" baseline="0">
                <a:effectLst/>
              </a:rPr>
              <a:t>Breakdown of pumping costs -  $/year </a:t>
            </a:r>
            <a:endParaRPr lang="en-AU" sz="1200">
              <a:effectLst/>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'STEP 2 Detailed analysis'!$AE$5</c:f>
              <c:strCache>
                <c:ptCount val="1"/>
                <c:pt idx="0">
                  <c:v>Static head</c:v>
                </c:pt>
              </c:strCache>
            </c:strRef>
          </c:tx>
          <c:spPr>
            <a:solidFill>
              <a:schemeClr val="accent1"/>
            </a:solidFill>
            <a:ln w="19050">
              <a:noFill/>
            </a:ln>
            <a:effectLst/>
          </c:spPr>
          <c:invertIfNegative val="0"/>
          <c:dPt>
            <c:idx val="0"/>
            <c:invertIfNegative val="0"/>
            <c:bubble3D val="0"/>
            <c:spPr>
              <a:solidFill>
                <a:schemeClr val="accent1"/>
              </a:solidFill>
              <a:ln w="19050">
                <a:noFill/>
              </a:ln>
              <a:effectLst/>
            </c:spPr>
            <c:extLst>
              <c:ext xmlns:c16="http://schemas.microsoft.com/office/drawing/2014/chart" uri="{C3380CC4-5D6E-409C-BE32-E72D297353CC}">
                <c16:uniqueId val="{00000001-49A5-45B5-A3F4-CFB2D1BC8ED7}"/>
              </c:ext>
            </c:extLst>
          </c:dPt>
          <c:cat>
            <c:strRef>
              <c:f>'STEP 2 Detailed analysis'!$AT$14:$AU$14</c:f>
              <c:strCache>
                <c:ptCount val="2"/>
                <c:pt idx="0">
                  <c:v>Current system</c:v>
                </c:pt>
                <c:pt idx="1">
                  <c:v>Improved system</c:v>
                </c:pt>
              </c:strCache>
            </c:strRef>
          </c:cat>
          <c:val>
            <c:numRef>
              <c:f>('STEP 2 Detailed analysis'!$AO$5,'STEP 2 Detailed analysis'!$AT$5)</c:f>
              <c:numCache>
                <c:formatCode>_-"$"* #,##0_-;\-"$"* #,##0_-;_-"$"* "-"??_-;_-@_-</c:formatCode>
                <c:ptCount val="2"/>
                <c:pt idx="0" formatCode="_-&quot;$&quot;* #,##0;\-&quot;$&quot;* #,##0;_-&quot;$&quot;* &quot;-&quot;??;_-@_-">
                  <c:v>0</c:v>
                </c:pt>
                <c:pt idx="1">
                  <c:v>0</c:v>
                </c:pt>
              </c:numCache>
            </c:numRef>
          </c:val>
          <c:extLst>
            <c:ext xmlns:c16="http://schemas.microsoft.com/office/drawing/2014/chart" uri="{C3380CC4-5D6E-409C-BE32-E72D297353CC}">
              <c16:uniqueId val="{00000002-49A5-45B5-A3F4-CFB2D1BC8ED7}"/>
            </c:ext>
          </c:extLst>
        </c:ser>
        <c:ser>
          <c:idx val="1"/>
          <c:order val="1"/>
          <c:tx>
            <c:strRef>
              <c:f>'STEP 2 Detailed analysis'!$AE$6</c:f>
              <c:strCache>
                <c:ptCount val="1"/>
                <c:pt idx="0">
                  <c:v>Main line</c:v>
                </c:pt>
              </c:strCache>
            </c:strRef>
          </c:tx>
          <c:spPr>
            <a:solidFill>
              <a:schemeClr val="accent2"/>
            </a:solidFill>
            <a:ln w="19050">
              <a:noFill/>
            </a:ln>
            <a:effectLst/>
          </c:spPr>
          <c:invertIfNegative val="0"/>
          <c:dPt>
            <c:idx val="0"/>
            <c:invertIfNegative val="0"/>
            <c:bubble3D val="0"/>
            <c:spPr>
              <a:solidFill>
                <a:schemeClr val="accent2"/>
              </a:solidFill>
              <a:ln w="19050">
                <a:noFill/>
              </a:ln>
              <a:effectLst/>
            </c:spPr>
            <c:extLst>
              <c:ext xmlns:c16="http://schemas.microsoft.com/office/drawing/2014/chart" uri="{C3380CC4-5D6E-409C-BE32-E72D297353CC}">
                <c16:uniqueId val="{00000004-49A5-45B5-A3F4-CFB2D1BC8ED7}"/>
              </c:ext>
            </c:extLst>
          </c:dPt>
          <c:cat>
            <c:strRef>
              <c:f>'STEP 2 Detailed analysis'!$AT$14:$AU$14</c:f>
              <c:strCache>
                <c:ptCount val="2"/>
                <c:pt idx="0">
                  <c:v>Current system</c:v>
                </c:pt>
                <c:pt idx="1">
                  <c:v>Improved system</c:v>
                </c:pt>
              </c:strCache>
            </c:strRef>
          </c:cat>
          <c:val>
            <c:numRef>
              <c:f>('STEP 2 Detailed analysis'!$AO$6,'STEP 2 Detailed analysis'!$AT$6)</c:f>
              <c:numCache>
                <c:formatCode>_-"$"* #,##0_-;\-"$"* #,##0_-;_-"$"* "-"??_-;_-@_-</c:formatCode>
                <c:ptCount val="2"/>
                <c:pt idx="0" formatCode="_-&quot;$&quot;* #,##0;\-&quot;$&quot;* #,##0;_-&quot;$&quot;* &quot;-&quot;??;_-@_-">
                  <c:v>2723.3729562311478</c:v>
                </c:pt>
                <c:pt idx="1">
                  <c:v>272.33729562311481</c:v>
                </c:pt>
              </c:numCache>
            </c:numRef>
          </c:val>
          <c:extLst>
            <c:ext xmlns:c16="http://schemas.microsoft.com/office/drawing/2014/chart" uri="{C3380CC4-5D6E-409C-BE32-E72D297353CC}">
              <c16:uniqueId val="{00000005-49A5-45B5-A3F4-CFB2D1BC8ED7}"/>
            </c:ext>
          </c:extLst>
        </c:ser>
        <c:ser>
          <c:idx val="2"/>
          <c:order val="2"/>
          <c:tx>
            <c:strRef>
              <c:f>'STEP 2 Detailed analysis'!$AE$7</c:f>
              <c:strCache>
                <c:ptCount val="1"/>
                <c:pt idx="0">
                  <c:v>Irrigator hose</c:v>
                </c:pt>
              </c:strCache>
            </c:strRef>
          </c:tx>
          <c:spPr>
            <a:solidFill>
              <a:schemeClr val="accent3"/>
            </a:solidFill>
            <a:ln w="19050">
              <a:noFill/>
            </a:ln>
            <a:effectLst/>
          </c:spPr>
          <c:invertIfNegative val="0"/>
          <c:dPt>
            <c:idx val="0"/>
            <c:invertIfNegative val="0"/>
            <c:bubble3D val="0"/>
            <c:spPr>
              <a:solidFill>
                <a:schemeClr val="accent3"/>
              </a:solidFill>
              <a:ln w="19050">
                <a:noFill/>
              </a:ln>
              <a:effectLst/>
            </c:spPr>
            <c:extLst>
              <c:ext xmlns:c16="http://schemas.microsoft.com/office/drawing/2014/chart" uri="{C3380CC4-5D6E-409C-BE32-E72D297353CC}">
                <c16:uniqueId val="{00000007-49A5-45B5-A3F4-CFB2D1BC8ED7}"/>
              </c:ext>
            </c:extLst>
          </c:dPt>
          <c:cat>
            <c:strRef>
              <c:f>'STEP 2 Detailed analysis'!$AT$14:$AU$14</c:f>
              <c:strCache>
                <c:ptCount val="2"/>
                <c:pt idx="0">
                  <c:v>Current system</c:v>
                </c:pt>
                <c:pt idx="1">
                  <c:v>Improved system</c:v>
                </c:pt>
              </c:strCache>
            </c:strRef>
          </c:cat>
          <c:val>
            <c:numRef>
              <c:f>('STEP 2 Detailed analysis'!$AO$7,'STEP 2 Detailed analysis'!$AT$7)</c:f>
              <c:numCache>
                <c:formatCode>_-"$"* #,##0_-;\-"$"* #,##0_-;_-"$"* "-"??_-;_-@_-</c:formatCode>
                <c:ptCount val="2"/>
                <c:pt idx="0" formatCode="_-&quot;$&quot;* #,##0;\-&quot;$&quot;* #,##0;_-&quot;$&quot;* &quot;-&quot;??;_-@_-">
                  <c:v>2178.6983649849185</c:v>
                </c:pt>
                <c:pt idx="1">
                  <c:v>1361.6864781155743</c:v>
                </c:pt>
              </c:numCache>
            </c:numRef>
          </c:val>
          <c:extLst>
            <c:ext xmlns:c16="http://schemas.microsoft.com/office/drawing/2014/chart" uri="{C3380CC4-5D6E-409C-BE32-E72D297353CC}">
              <c16:uniqueId val="{00000008-49A5-45B5-A3F4-CFB2D1BC8ED7}"/>
            </c:ext>
          </c:extLst>
        </c:ser>
        <c:ser>
          <c:idx val="3"/>
          <c:order val="3"/>
          <c:tx>
            <c:strRef>
              <c:f>'STEP 2 Detailed analysis'!$AE$8</c:f>
              <c:strCache>
                <c:ptCount val="1"/>
                <c:pt idx="0">
                  <c:v>Irrigator</c:v>
                </c:pt>
              </c:strCache>
            </c:strRef>
          </c:tx>
          <c:spPr>
            <a:solidFill>
              <a:schemeClr val="accent4"/>
            </a:solidFill>
            <a:ln w="19050">
              <a:noFill/>
            </a:ln>
            <a:effectLst/>
          </c:spPr>
          <c:invertIfNegative val="0"/>
          <c:dPt>
            <c:idx val="0"/>
            <c:invertIfNegative val="0"/>
            <c:bubble3D val="0"/>
            <c:spPr>
              <a:solidFill>
                <a:schemeClr val="accent4"/>
              </a:solidFill>
              <a:ln w="19050">
                <a:noFill/>
              </a:ln>
              <a:effectLst/>
            </c:spPr>
            <c:extLst>
              <c:ext xmlns:c16="http://schemas.microsoft.com/office/drawing/2014/chart" uri="{C3380CC4-5D6E-409C-BE32-E72D297353CC}">
                <c16:uniqueId val="{0000000A-49A5-45B5-A3F4-CFB2D1BC8ED7}"/>
              </c:ext>
            </c:extLst>
          </c:dPt>
          <c:cat>
            <c:strRef>
              <c:f>'STEP 2 Detailed analysis'!$AT$14:$AU$14</c:f>
              <c:strCache>
                <c:ptCount val="2"/>
                <c:pt idx="0">
                  <c:v>Current system</c:v>
                </c:pt>
                <c:pt idx="1">
                  <c:v>Improved system</c:v>
                </c:pt>
              </c:strCache>
            </c:strRef>
          </c:cat>
          <c:val>
            <c:numRef>
              <c:f>('STEP 2 Detailed analysis'!$AO$8,'STEP 2 Detailed analysis'!$AT$8)</c:f>
              <c:numCache>
                <c:formatCode>_-"$"* #,##0_-;\-"$"* #,##0_-;_-"$"* "-"??_-;_-@_-</c:formatCode>
                <c:ptCount val="2"/>
                <c:pt idx="0" formatCode="_-&quot;$&quot;* #,##0;\-&quot;$&quot;* #,##0;_-&quot;$&quot;* &quot;-&quot;??;_-@_-">
                  <c:v>11438.166416170821</c:v>
                </c:pt>
                <c:pt idx="1">
                  <c:v>11460.699377987048</c:v>
                </c:pt>
              </c:numCache>
            </c:numRef>
          </c:val>
          <c:extLst>
            <c:ext xmlns:c16="http://schemas.microsoft.com/office/drawing/2014/chart" uri="{C3380CC4-5D6E-409C-BE32-E72D297353CC}">
              <c16:uniqueId val="{0000000B-49A5-45B5-A3F4-CFB2D1BC8ED7}"/>
            </c:ext>
          </c:extLst>
        </c:ser>
        <c:ser>
          <c:idx val="4"/>
          <c:order val="4"/>
          <c:tx>
            <c:strRef>
              <c:f>'STEP 2 Detailed analysis'!$AE$9</c:f>
              <c:strCache>
                <c:ptCount val="1"/>
                <c:pt idx="0">
                  <c:v>Pump inefficiency</c:v>
                </c:pt>
              </c:strCache>
            </c:strRef>
          </c:tx>
          <c:spPr>
            <a:solidFill>
              <a:schemeClr val="accent5"/>
            </a:solidFill>
            <a:ln w="19050">
              <a:noFill/>
            </a:ln>
            <a:effectLst/>
          </c:spPr>
          <c:invertIfNegative val="0"/>
          <c:dPt>
            <c:idx val="0"/>
            <c:invertIfNegative val="0"/>
            <c:bubble3D val="0"/>
            <c:spPr>
              <a:solidFill>
                <a:schemeClr val="accent5"/>
              </a:solidFill>
              <a:ln w="19050">
                <a:noFill/>
              </a:ln>
              <a:effectLst/>
            </c:spPr>
            <c:extLst>
              <c:ext xmlns:c16="http://schemas.microsoft.com/office/drawing/2014/chart" uri="{C3380CC4-5D6E-409C-BE32-E72D297353CC}">
                <c16:uniqueId val="{0000000D-49A5-45B5-A3F4-CFB2D1BC8ED7}"/>
              </c:ext>
            </c:extLst>
          </c:dPt>
          <c:cat>
            <c:strRef>
              <c:f>'STEP 2 Detailed analysis'!$AT$14:$AU$14</c:f>
              <c:strCache>
                <c:ptCount val="2"/>
                <c:pt idx="0">
                  <c:v>Current system</c:v>
                </c:pt>
                <c:pt idx="1">
                  <c:v>Improved system</c:v>
                </c:pt>
              </c:strCache>
            </c:strRef>
          </c:cat>
          <c:val>
            <c:numRef>
              <c:f>('STEP 2 Detailed analysis'!$AO$9,'STEP 2 Detailed analysis'!$AT$9)</c:f>
              <c:numCache>
                <c:formatCode>_-"$"* #,##0_-;\-"$"* #,##0_-;_-"$"* "-"??_-;_-@_-</c:formatCode>
                <c:ptCount val="2"/>
                <c:pt idx="0" formatCode="_-&quot;$&quot;* #,##0;\-&quot;$&quot;* #,##0;_-&quot;$&quot;* &quot;-&quot;??;_-@_-">
                  <c:v>12065.490262613175</c:v>
                </c:pt>
                <c:pt idx="1">
                  <c:v>7711.7849575669861</c:v>
                </c:pt>
              </c:numCache>
            </c:numRef>
          </c:val>
          <c:extLst>
            <c:ext xmlns:c16="http://schemas.microsoft.com/office/drawing/2014/chart" uri="{C3380CC4-5D6E-409C-BE32-E72D297353CC}">
              <c16:uniqueId val="{0000000E-49A5-45B5-A3F4-CFB2D1BC8ED7}"/>
            </c:ext>
          </c:extLst>
        </c:ser>
        <c:ser>
          <c:idx val="5"/>
          <c:order val="5"/>
          <c:tx>
            <c:strRef>
              <c:f>'STEP 2 Detailed analysis'!$AE$10</c:f>
              <c:strCache>
                <c:ptCount val="1"/>
                <c:pt idx="0">
                  <c:v>Motor inefficiency</c:v>
                </c:pt>
              </c:strCache>
            </c:strRef>
          </c:tx>
          <c:spPr>
            <a:solidFill>
              <a:schemeClr val="accent6"/>
            </a:solidFill>
            <a:ln w="19050">
              <a:noFill/>
            </a:ln>
            <a:effectLst/>
          </c:spPr>
          <c:invertIfNegative val="0"/>
          <c:dPt>
            <c:idx val="0"/>
            <c:invertIfNegative val="0"/>
            <c:bubble3D val="0"/>
            <c:spPr>
              <a:solidFill>
                <a:schemeClr val="accent6"/>
              </a:solidFill>
              <a:ln w="19050">
                <a:noFill/>
              </a:ln>
              <a:effectLst/>
            </c:spPr>
            <c:extLst>
              <c:ext xmlns:c16="http://schemas.microsoft.com/office/drawing/2014/chart" uri="{C3380CC4-5D6E-409C-BE32-E72D297353CC}">
                <c16:uniqueId val="{00000010-49A5-45B5-A3F4-CFB2D1BC8ED7}"/>
              </c:ext>
            </c:extLst>
          </c:dPt>
          <c:cat>
            <c:strRef>
              <c:f>'STEP 2 Detailed analysis'!$AT$14:$AU$14</c:f>
              <c:strCache>
                <c:ptCount val="2"/>
                <c:pt idx="0">
                  <c:v>Current system</c:v>
                </c:pt>
                <c:pt idx="1">
                  <c:v>Improved system</c:v>
                </c:pt>
              </c:strCache>
            </c:strRef>
          </c:cat>
          <c:val>
            <c:numRef>
              <c:f>('STEP 2 Detailed analysis'!$AO$10,'STEP 2 Detailed analysis'!$AT$10)</c:f>
              <c:numCache>
                <c:formatCode>_-"$"* #,##0_-;\-"$"* #,##0_-;_-"$"* "-"??_-;_-@_-</c:formatCode>
                <c:ptCount val="2"/>
                <c:pt idx="0" formatCode="_-&quot;$&quot;* #,##0;\-&quot;$&quot;* #,##0;_-&quot;$&quot;* &quot;-&quot;??;_-@_-">
                  <c:v>1942.2720000000063</c:v>
                </c:pt>
                <c:pt idx="1">
                  <c:v>1942.2720000000063</c:v>
                </c:pt>
              </c:numCache>
            </c:numRef>
          </c:val>
          <c:extLst>
            <c:ext xmlns:c16="http://schemas.microsoft.com/office/drawing/2014/chart" uri="{C3380CC4-5D6E-409C-BE32-E72D297353CC}">
              <c16:uniqueId val="{00000011-49A5-45B5-A3F4-CFB2D1BC8ED7}"/>
            </c:ext>
          </c:extLst>
        </c:ser>
        <c:ser>
          <c:idx val="6"/>
          <c:order val="6"/>
          <c:tx>
            <c:v>Saving</c:v>
          </c:tx>
          <c:spPr>
            <a:solidFill>
              <a:srgbClr val="D8BEEC"/>
            </a:solidFill>
            <a:ln w="19050">
              <a:noFill/>
            </a:ln>
            <a:effectLst/>
          </c:spPr>
          <c:invertIfNegative val="0"/>
          <c:dLbls>
            <c:dLbl>
              <c:idx val="1"/>
              <c:tx>
                <c:strRef>
                  <c:f>'STEP 2 Detailed analysis'!$AE$47</c:f>
                  <c:strCache>
                    <c:ptCount val="1"/>
                    <c:pt idx="0">
                      <c:v>Saving: $7599</c:v>
                    </c:pt>
                  </c:strCache>
                </c:strRef>
              </c:tx>
              <c:showLegendKey val="0"/>
              <c:showVal val="1"/>
              <c:showCatName val="0"/>
              <c:showSerName val="0"/>
              <c:showPercent val="0"/>
              <c:showBubbleSize val="0"/>
              <c:extLst>
                <c:ext xmlns:c15="http://schemas.microsoft.com/office/drawing/2012/chart" uri="{CE6537A1-D6FC-4f65-9D91-7224C49458BB}">
                  <c15:dlblFieldTable>
                    <c15:dlblFTEntry>
                      <c15:txfldGUID>{D853367E-8966-4BE1-8729-3ECD29594DF2}</c15:txfldGUID>
                      <c15:f>'STEP 2 Detailed analysis'!$AE$47</c15:f>
                      <c15:dlblFieldTableCache>
                        <c:ptCount val="1"/>
                        <c:pt idx="0">
                          <c:v>Saving: $7599</c:v>
                        </c:pt>
                      </c15:dlblFieldTableCache>
                    </c15:dlblFTEntry>
                  </c15:dlblFieldTable>
                  <c15:showDataLabelsRange val="0"/>
                </c:ext>
                <c:ext xmlns:c16="http://schemas.microsoft.com/office/drawing/2014/chart" uri="{C3380CC4-5D6E-409C-BE32-E72D297353CC}">
                  <c16:uniqueId val="{00000012-49A5-45B5-A3F4-CFB2D1BC8ED7}"/>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('STEP 2 Detailed analysis'!$AQ$11,'STEP 2 Detailed analysis'!$AU$11)</c:f>
              <c:numCache>
                <c:formatCode>_("$"* #,##0.00_);_("$"* \(#,##0.00\);_("$"* "-"??_);_(@_)</c:formatCode>
                <c:ptCount val="2"/>
                <c:pt idx="1">
                  <c:v>7599.2199432299622</c:v>
                </c:pt>
              </c:numCache>
            </c:numRef>
          </c:val>
          <c:extLst>
            <c:ext xmlns:c16="http://schemas.microsoft.com/office/drawing/2014/chart" uri="{C3380CC4-5D6E-409C-BE32-E72D297353CC}">
              <c16:uniqueId val="{00000013-49A5-45B5-A3F4-CFB2D1BC8ED7}"/>
            </c:ext>
          </c:extLst>
        </c:ser>
        <c:dLbls>
          <c:showLegendKey val="0"/>
          <c:showVal val="0"/>
          <c:showCatName val="0"/>
          <c:showSerName val="0"/>
          <c:showPercent val="0"/>
          <c:showBubbleSize val="0"/>
        </c:dLbls>
        <c:gapWidth val="55"/>
        <c:overlap val="100"/>
        <c:axId val="854830768"/>
        <c:axId val="854835032"/>
      </c:barChart>
      <c:catAx>
        <c:axId val="854830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4835032"/>
        <c:crosses val="autoZero"/>
        <c:auto val="1"/>
        <c:lblAlgn val="ctr"/>
        <c:lblOffset val="100"/>
        <c:noMultiLvlLbl val="0"/>
      </c:catAx>
      <c:valAx>
        <c:axId val="85483503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483076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a:t>Running costs of irrigation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'data for graph'!$C$4</c:f>
              <c:strCache>
                <c:ptCount val="1"/>
                <c:pt idx="0">
                  <c:v>Static</c:v>
                </c:pt>
              </c:strCache>
            </c:strRef>
          </c:tx>
          <c:spPr>
            <a:solidFill>
              <a:schemeClr val="accent1"/>
            </a:solidFill>
            <a:ln>
              <a:noFill/>
            </a:ln>
            <a:effectLst/>
          </c:spPr>
          <c:invertIfNegative val="0"/>
          <c:cat>
            <c:numRef>
              <c:f>'data for graph'!$B$6:$B$39</c:f>
              <c:numCache>
                <c:formatCode>General</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'data for graph'!$C$6:$C$39</c:f>
              <c:numCache>
                <c:formatCode>0</c:formatCode>
                <c:ptCount val="34"/>
                <c:pt idx="0">
                  <c:v>0.53722222222222216</c:v>
                </c:pt>
                <c:pt idx="1">
                  <c:v>6.9444444444444455</c:v>
                </c:pt>
                <c:pt idx="2">
                  <c:v>11.055555555555555</c:v>
                </c:pt>
                <c:pt idx="3">
                  <c:v>6.9444444444444455</c:v>
                </c:pt>
                <c:pt idx="4">
                  <c:v>0.34319444444444452</c:v>
                </c:pt>
                <c:pt idx="5">
                  <c:v>5.9227777777777773</c:v>
                </c:pt>
                <c:pt idx="6">
                  <c:v>6.9444444444444429</c:v>
                </c:pt>
                <c:pt idx="7">
                  <c:v>10.277777777777777</c:v>
                </c:pt>
                <c:pt idx="8">
                  <c:v>17.361111111111111</c:v>
                </c:pt>
                <c:pt idx="9">
                  <c:v>9.1666666666666661</c:v>
                </c:pt>
                <c:pt idx="10">
                  <c:v>6.9444444444444446</c:v>
                </c:pt>
                <c:pt idx="11">
                  <c:v>21.532631230116639</c:v>
                </c:pt>
                <c:pt idx="12">
                  <c:v>8.2918739635157532</c:v>
                </c:pt>
                <c:pt idx="13">
                  <c:v>10.666666666666668</c:v>
                </c:pt>
                <c:pt idx="14">
                  <c:v>6.9444444444444446</c:v>
                </c:pt>
                <c:pt idx="15">
                  <c:v>8.3333333333333321</c:v>
                </c:pt>
                <c:pt idx="16">
                  <c:v>28.93518518518518</c:v>
                </c:pt>
                <c:pt idx="17">
                  <c:v>13.888888888888888</c:v>
                </c:pt>
                <c:pt idx="18">
                  <c:v>10.430000000000003</c:v>
                </c:pt>
                <c:pt idx="19">
                  <c:v>25.180555555555561</c:v>
                </c:pt>
                <c:pt idx="20">
                  <c:v>5.2499999999999991</c:v>
                </c:pt>
                <c:pt idx="21">
                  <c:v>6.9444444444444455</c:v>
                </c:pt>
                <c:pt idx="22">
                  <c:v>25</c:v>
                </c:pt>
                <c:pt idx="23">
                  <c:v>3.6719177914710479</c:v>
                </c:pt>
                <c:pt idx="24">
                  <c:v>3.0027777777777778</c:v>
                </c:pt>
                <c:pt idx="25">
                  <c:v>6.9444444444444455</c:v>
                </c:pt>
                <c:pt idx="26">
                  <c:v>10.416666666666664</c:v>
                </c:pt>
                <c:pt idx="27">
                  <c:v>5.3999999999999995</c:v>
                </c:pt>
                <c:pt idx="28">
                  <c:v>6.25</c:v>
                </c:pt>
                <c:pt idx="29">
                  <c:v>13.141666666666666</c:v>
                </c:pt>
                <c:pt idx="30">
                  <c:v>9.7777777777777803</c:v>
                </c:pt>
                <c:pt idx="31">
                  <c:v>14.583333333333336</c:v>
                </c:pt>
                <c:pt idx="32">
                  <c:v>15.277777777777779</c:v>
                </c:pt>
                <c:pt idx="33">
                  <c:v>1.9</c:v>
                </c:pt>
              </c:numCache>
            </c:numRef>
          </c:val>
          <c:extLst>
            <c:ext xmlns:c16="http://schemas.microsoft.com/office/drawing/2014/chart" uri="{C3380CC4-5D6E-409C-BE32-E72D297353CC}">
              <c16:uniqueId val="{00000000-BCD7-4384-9FC1-E75C20FAF0BE}"/>
            </c:ext>
          </c:extLst>
        </c:ser>
        <c:ser>
          <c:idx val="1"/>
          <c:order val="1"/>
          <c:tx>
            <c:strRef>
              <c:f>'data for graph'!$D$4</c:f>
              <c:strCache>
                <c:ptCount val="1"/>
                <c:pt idx="0">
                  <c:v>Pipe + fittings</c:v>
                </c:pt>
              </c:strCache>
            </c:strRef>
          </c:tx>
          <c:spPr>
            <a:solidFill>
              <a:schemeClr val="accent2"/>
            </a:solidFill>
            <a:ln>
              <a:noFill/>
            </a:ln>
            <a:effectLst/>
          </c:spPr>
          <c:invertIfNegative val="0"/>
          <c:cat>
            <c:numRef>
              <c:f>'data for graph'!$B$6:$B$39</c:f>
              <c:numCache>
                <c:formatCode>General</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'data for graph'!$D$6:$D$39</c:f>
              <c:numCache>
                <c:formatCode>0</c:formatCode>
                <c:ptCount val="34"/>
                <c:pt idx="0">
                  <c:v>4.835</c:v>
                </c:pt>
                <c:pt idx="1">
                  <c:v>9.7222222222222232</c:v>
                </c:pt>
                <c:pt idx="2">
                  <c:v>19.347222222222225</c:v>
                </c:pt>
                <c:pt idx="3">
                  <c:v>10.416666666666666</c:v>
                </c:pt>
                <c:pt idx="4">
                  <c:v>16.610611111111112</c:v>
                </c:pt>
                <c:pt idx="5">
                  <c:v>8.8841666666666654</c:v>
                </c:pt>
                <c:pt idx="6">
                  <c:v>18.749999999999996</c:v>
                </c:pt>
                <c:pt idx="7">
                  <c:v>14.902777777777773</c:v>
                </c:pt>
                <c:pt idx="8">
                  <c:v>9.7222222222222214</c:v>
                </c:pt>
                <c:pt idx="9">
                  <c:v>16.041666666666661</c:v>
                </c:pt>
                <c:pt idx="10">
                  <c:v>7.6388888888888884</c:v>
                </c:pt>
                <c:pt idx="11">
                  <c:v>6.2166790164369008</c:v>
                </c:pt>
                <c:pt idx="12">
                  <c:v>26.533996683250411</c:v>
                </c:pt>
                <c:pt idx="13">
                  <c:v>11.200000000000001</c:v>
                </c:pt>
                <c:pt idx="14">
                  <c:v>13.888888888888889</c:v>
                </c:pt>
                <c:pt idx="15">
                  <c:v>9.9999999999999982</c:v>
                </c:pt>
                <c:pt idx="16">
                  <c:v>12.152777777777773</c:v>
                </c:pt>
                <c:pt idx="17">
                  <c:v>18.749999999999996</c:v>
                </c:pt>
                <c:pt idx="18">
                  <c:v>19.701111111111114</c:v>
                </c:pt>
                <c:pt idx="19">
                  <c:v>27.494444444444444</c:v>
                </c:pt>
                <c:pt idx="20">
                  <c:v>27.999999999999996</c:v>
                </c:pt>
                <c:pt idx="21">
                  <c:v>5.5555555555555562</c:v>
                </c:pt>
                <c:pt idx="22">
                  <c:v>25.625</c:v>
                </c:pt>
                <c:pt idx="23">
                  <c:v>41.883940972222227</c:v>
                </c:pt>
                <c:pt idx="24">
                  <c:v>9.6088888888888899</c:v>
                </c:pt>
                <c:pt idx="25">
                  <c:v>22.222222222222225</c:v>
                </c:pt>
                <c:pt idx="26">
                  <c:v>16.666666666666668</c:v>
                </c:pt>
                <c:pt idx="27">
                  <c:v>17.549999999999997</c:v>
                </c:pt>
                <c:pt idx="28">
                  <c:v>29.166666666666664</c:v>
                </c:pt>
                <c:pt idx="29">
                  <c:v>23.516666666666662</c:v>
                </c:pt>
                <c:pt idx="30">
                  <c:v>23.222222222222229</c:v>
                </c:pt>
                <c:pt idx="31">
                  <c:v>16.666666666666668</c:v>
                </c:pt>
                <c:pt idx="32">
                  <c:v>22.777777777777779</c:v>
                </c:pt>
                <c:pt idx="33">
                  <c:v>7.6</c:v>
                </c:pt>
              </c:numCache>
            </c:numRef>
          </c:val>
          <c:extLst>
            <c:ext xmlns:c16="http://schemas.microsoft.com/office/drawing/2014/chart" uri="{C3380CC4-5D6E-409C-BE32-E72D297353CC}">
              <c16:uniqueId val="{00000001-BCD7-4384-9FC1-E75C20FAF0BE}"/>
            </c:ext>
          </c:extLst>
        </c:ser>
        <c:ser>
          <c:idx val="2"/>
          <c:order val="2"/>
          <c:tx>
            <c:strRef>
              <c:f>'data for graph'!$E$4</c:f>
              <c:strCache>
                <c:ptCount val="1"/>
                <c:pt idx="0">
                  <c:v>Irrigator</c:v>
                </c:pt>
              </c:strCache>
            </c:strRef>
          </c:tx>
          <c:spPr>
            <a:solidFill>
              <a:schemeClr val="accent3"/>
            </a:solidFill>
            <a:ln>
              <a:noFill/>
            </a:ln>
            <a:effectLst/>
          </c:spPr>
          <c:invertIfNegative val="0"/>
          <c:cat>
            <c:numRef>
              <c:f>'data for graph'!$B$6:$B$39</c:f>
              <c:numCache>
                <c:formatCode>General</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'data for graph'!$E$6:$E$39</c:f>
              <c:numCache>
                <c:formatCode>0</c:formatCode>
                <c:ptCount val="34"/>
                <c:pt idx="0">
                  <c:v>10.744444444444445</c:v>
                </c:pt>
                <c:pt idx="1">
                  <c:v>16.666666666666668</c:v>
                </c:pt>
                <c:pt idx="2">
                  <c:v>8.2916666666666661</c:v>
                </c:pt>
                <c:pt idx="3">
                  <c:v>17.361111111111111</c:v>
                </c:pt>
                <c:pt idx="4">
                  <c:v>14.414166666666667</c:v>
                </c:pt>
                <c:pt idx="5">
                  <c:v>10.576388888888886</c:v>
                </c:pt>
                <c:pt idx="6">
                  <c:v>17.361111111111111</c:v>
                </c:pt>
                <c:pt idx="7">
                  <c:v>12.84722222222222</c:v>
                </c:pt>
                <c:pt idx="8">
                  <c:v>17.361111111111111</c:v>
                </c:pt>
                <c:pt idx="9">
                  <c:v>9.1666666666666661</c:v>
                </c:pt>
                <c:pt idx="10">
                  <c:v>38.888888888888893</c:v>
                </c:pt>
                <c:pt idx="11">
                  <c:v>15.91793975344644</c:v>
                </c:pt>
                <c:pt idx="12">
                  <c:v>20.729684908789384</c:v>
                </c:pt>
                <c:pt idx="13">
                  <c:v>16</c:v>
                </c:pt>
                <c:pt idx="14">
                  <c:v>39.583333333333329</c:v>
                </c:pt>
                <c:pt idx="15">
                  <c:v>16.666666666666664</c:v>
                </c:pt>
                <c:pt idx="16">
                  <c:v>14.46759259259259</c:v>
                </c:pt>
                <c:pt idx="17">
                  <c:v>26.388888888888889</c:v>
                </c:pt>
                <c:pt idx="18">
                  <c:v>28.972222222222225</c:v>
                </c:pt>
                <c:pt idx="19">
                  <c:v>8.8472222222222232</c:v>
                </c:pt>
                <c:pt idx="20">
                  <c:v>6.9999999999999991</c:v>
                </c:pt>
                <c:pt idx="21">
                  <c:v>26.388888888888893</c:v>
                </c:pt>
                <c:pt idx="22">
                  <c:v>11.805555555555554</c:v>
                </c:pt>
                <c:pt idx="23">
                  <c:v>9.1496967918622847</c:v>
                </c:pt>
                <c:pt idx="24">
                  <c:v>33.030555555555559</c:v>
                </c:pt>
                <c:pt idx="25">
                  <c:v>34.722222222222221</c:v>
                </c:pt>
                <c:pt idx="26">
                  <c:v>38.888888888888886</c:v>
                </c:pt>
                <c:pt idx="27">
                  <c:v>26.999999999999996</c:v>
                </c:pt>
                <c:pt idx="28">
                  <c:v>15.97222222222222</c:v>
                </c:pt>
                <c:pt idx="29">
                  <c:v>24.208333333333329</c:v>
                </c:pt>
                <c:pt idx="30">
                  <c:v>39.722222222222229</c:v>
                </c:pt>
                <c:pt idx="31">
                  <c:v>34.722222222222229</c:v>
                </c:pt>
                <c:pt idx="32">
                  <c:v>25.138888888888893</c:v>
                </c:pt>
                <c:pt idx="33">
                  <c:v>25</c:v>
                </c:pt>
              </c:numCache>
            </c:numRef>
          </c:val>
          <c:extLst>
            <c:ext xmlns:c16="http://schemas.microsoft.com/office/drawing/2014/chart" uri="{C3380CC4-5D6E-409C-BE32-E72D297353CC}">
              <c16:uniqueId val="{00000002-BCD7-4384-9FC1-E75C20FAF0BE}"/>
            </c:ext>
          </c:extLst>
        </c:ser>
        <c:ser>
          <c:idx val="3"/>
          <c:order val="3"/>
          <c:tx>
            <c:strRef>
              <c:f>'data for graph'!$F$4</c:f>
              <c:strCache>
                <c:ptCount val="1"/>
                <c:pt idx="0">
                  <c:v>Pump</c:v>
                </c:pt>
              </c:strCache>
            </c:strRef>
          </c:tx>
          <c:spPr>
            <a:solidFill>
              <a:schemeClr val="accent4"/>
            </a:solidFill>
            <a:ln>
              <a:noFill/>
            </a:ln>
            <a:effectLst/>
          </c:spPr>
          <c:invertIfNegative val="0"/>
          <c:cat>
            <c:numRef>
              <c:f>'data for graph'!$B$6:$B$39</c:f>
              <c:numCache>
                <c:formatCode>General</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'data for graph'!$F$6:$F$39</c:f>
              <c:numCache>
                <c:formatCode>0</c:formatCode>
                <c:ptCount val="34"/>
                <c:pt idx="0">
                  <c:v>10.798166666666667</c:v>
                </c:pt>
                <c:pt idx="1">
                  <c:v>9.7701149425287319</c:v>
                </c:pt>
                <c:pt idx="2">
                  <c:v>8.3413874191651871</c:v>
                </c:pt>
                <c:pt idx="3">
                  <c:v>10.416666666666666</c:v>
                </c:pt>
                <c:pt idx="4">
                  <c:v>17.438993426632742</c:v>
                </c:pt>
                <c:pt idx="5">
                  <c:v>33.125249999999994</c:v>
                </c:pt>
                <c:pt idx="6">
                  <c:v>17.129629629629637</c:v>
                </c:pt>
                <c:pt idx="7">
                  <c:v>22.675347222222218</c:v>
                </c:pt>
                <c:pt idx="8">
                  <c:v>24.999999999999996</c:v>
                </c:pt>
                <c:pt idx="9">
                  <c:v>38.605769230769234</c:v>
                </c:pt>
                <c:pt idx="10">
                  <c:v>20.601851851851858</c:v>
                </c:pt>
                <c:pt idx="11">
                  <c:v>34.136684878587211</c:v>
                </c:pt>
                <c:pt idx="12">
                  <c:v>19.444444444444443</c:v>
                </c:pt>
                <c:pt idx="13">
                  <c:v>37.243357783211081</c:v>
                </c:pt>
                <c:pt idx="14">
                  <c:v>14.980158730158731</c:v>
                </c:pt>
                <c:pt idx="15">
                  <c:v>33.817204301075265</c:v>
                </c:pt>
                <c:pt idx="16">
                  <c:v>25.029550827423172</c:v>
                </c:pt>
                <c:pt idx="17">
                  <c:v>23.644179894179903</c:v>
                </c:pt>
                <c:pt idx="18">
                  <c:v>23.882025641025638</c:v>
                </c:pt>
                <c:pt idx="19">
                  <c:v>25.72426426426426</c:v>
                </c:pt>
                <c:pt idx="20">
                  <c:v>52.562142038946142</c:v>
                </c:pt>
                <c:pt idx="21">
                  <c:v>53.703703703703695</c:v>
                </c:pt>
                <c:pt idx="22">
                  <c:v>29.236111111111104</c:v>
                </c:pt>
                <c:pt idx="23">
                  <c:v>39.356944444444444</c:v>
                </c:pt>
                <c:pt idx="24">
                  <c:v>58.597063492063484</c:v>
                </c:pt>
                <c:pt idx="25">
                  <c:v>42.757936507936506</c:v>
                </c:pt>
                <c:pt idx="26">
                  <c:v>46.207264957264961</c:v>
                </c:pt>
                <c:pt idx="27">
                  <c:v>68.266216216216208</c:v>
                </c:pt>
                <c:pt idx="28">
                  <c:v>76.600241545893709</c:v>
                </c:pt>
                <c:pt idx="29">
                  <c:v>61.657142857142851</c:v>
                </c:pt>
                <c:pt idx="30">
                  <c:v>43.759259259259267</c:v>
                </c:pt>
                <c:pt idx="31">
                  <c:v>59.027777777777764</c:v>
                </c:pt>
                <c:pt idx="32">
                  <c:v>68.519841269841265</c:v>
                </c:pt>
                <c:pt idx="33">
                  <c:v>120</c:v>
                </c:pt>
              </c:numCache>
            </c:numRef>
          </c:val>
          <c:extLst>
            <c:ext xmlns:c16="http://schemas.microsoft.com/office/drawing/2014/chart" uri="{C3380CC4-5D6E-409C-BE32-E72D297353CC}">
              <c16:uniqueId val="{00000003-BCD7-4384-9FC1-E75C20FAF0BE}"/>
            </c:ext>
          </c:extLst>
        </c:ser>
        <c:ser>
          <c:idx val="4"/>
          <c:order val="4"/>
          <c:tx>
            <c:strRef>
              <c:f>'data for graph'!$G$4</c:f>
              <c:strCache>
                <c:ptCount val="1"/>
                <c:pt idx="0">
                  <c:v>Motor</c:v>
                </c:pt>
              </c:strCache>
            </c:strRef>
          </c:tx>
          <c:spPr>
            <a:solidFill>
              <a:schemeClr val="accent5"/>
            </a:solidFill>
            <a:ln>
              <a:noFill/>
            </a:ln>
            <a:effectLst/>
          </c:spPr>
          <c:invertIfNegative val="0"/>
          <c:cat>
            <c:numRef>
              <c:f>'data for graph'!$B$6:$B$39</c:f>
              <c:numCache>
                <c:formatCode>General</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'data for graph'!$G$6:$G$39</c:f>
              <c:numCache>
                <c:formatCode>0</c:formatCode>
                <c:ptCount val="34"/>
                <c:pt idx="0">
                  <c:v>8.971611111111109</c:v>
                </c:pt>
                <c:pt idx="1">
                  <c:v>4.7892720306513414</c:v>
                </c:pt>
                <c:pt idx="2">
                  <c:v>2.6849206349206431</c:v>
                </c:pt>
                <c:pt idx="3">
                  <c:v>5.0154320987654328</c:v>
                </c:pt>
                <c:pt idx="4">
                  <c:v>5.4229961832061084</c:v>
                </c:pt>
                <c:pt idx="5">
                  <c:v>4.949749999999999</c:v>
                </c:pt>
                <c:pt idx="6">
                  <c:v>6.6872427983539104</c:v>
                </c:pt>
                <c:pt idx="7">
                  <c:v>6.7447916666666696</c:v>
                </c:pt>
                <c:pt idx="8">
                  <c:v>7.7160493827160499</c:v>
                </c:pt>
                <c:pt idx="9">
                  <c:v>8.1089743589743613</c:v>
                </c:pt>
                <c:pt idx="10">
                  <c:v>8.2304526748971139</c:v>
                </c:pt>
                <c:pt idx="11">
                  <c:v>4.9662086092715221</c:v>
                </c:pt>
                <c:pt idx="12">
                  <c:v>8.3333333333333339</c:v>
                </c:pt>
                <c:pt idx="13">
                  <c:v>8.3455582722086366</c:v>
                </c:pt>
                <c:pt idx="14">
                  <c:v>8.3774250440917086</c:v>
                </c:pt>
                <c:pt idx="15">
                  <c:v>17.204301075268816</c:v>
                </c:pt>
                <c:pt idx="16">
                  <c:v>8.9539007092198606</c:v>
                </c:pt>
                <c:pt idx="17">
                  <c:v>9.1857730746619648</c:v>
                </c:pt>
                <c:pt idx="18">
                  <c:v>12.400111111111112</c:v>
                </c:pt>
                <c:pt idx="19">
                  <c:v>9.6940540540540656</c:v>
                </c:pt>
                <c:pt idx="20">
                  <c:v>7.4169530355097404</c:v>
                </c:pt>
                <c:pt idx="21">
                  <c:v>10.288065843621389</c:v>
                </c:pt>
                <c:pt idx="22">
                  <c:v>12.499999999999995</c:v>
                </c:pt>
                <c:pt idx="23">
                  <c:v>10.451388888888886</c:v>
                </c:pt>
                <c:pt idx="24">
                  <c:v>11.582142857142854</c:v>
                </c:pt>
                <c:pt idx="25">
                  <c:v>11.849647266313935</c:v>
                </c:pt>
                <c:pt idx="26">
                  <c:v>12.464387464387457</c:v>
                </c:pt>
                <c:pt idx="27">
                  <c:v>13.135135135135139</c:v>
                </c:pt>
                <c:pt idx="28">
                  <c:v>7.8804347826086927</c:v>
                </c:pt>
                <c:pt idx="29">
                  <c:v>13.613756613756619</c:v>
                </c:pt>
                <c:pt idx="30">
                  <c:v>20.555555555555546</c:v>
                </c:pt>
                <c:pt idx="31">
                  <c:v>13.888888888888889</c:v>
                </c:pt>
                <c:pt idx="32">
                  <c:v>11.142857142857142</c:v>
                </c:pt>
                <c:pt idx="33">
                  <c:v>25.333333333333329</c:v>
                </c:pt>
              </c:numCache>
            </c:numRef>
          </c:val>
          <c:extLst>
            <c:ext xmlns:c16="http://schemas.microsoft.com/office/drawing/2014/chart" uri="{C3380CC4-5D6E-409C-BE32-E72D297353CC}">
              <c16:uniqueId val="{00000004-BCD7-4384-9FC1-E75C20FAF0BE}"/>
            </c:ext>
          </c:extLst>
        </c:ser>
        <c:dLbls>
          <c:showLegendKey val="0"/>
          <c:showVal val="0"/>
          <c:showCatName val="0"/>
          <c:showSerName val="0"/>
          <c:showPercent val="0"/>
          <c:showBubbleSize val="0"/>
        </c:dLbls>
        <c:gapWidth val="150"/>
        <c:overlap val="100"/>
        <c:axId val="338613752"/>
        <c:axId val="338612768"/>
      </c:barChart>
      <c:catAx>
        <c:axId val="338613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8612768"/>
        <c:crosses val="autoZero"/>
        <c:auto val="1"/>
        <c:lblAlgn val="ctr"/>
        <c:lblOffset val="100"/>
        <c:noMultiLvlLbl val="0"/>
      </c:catAx>
      <c:valAx>
        <c:axId val="3386127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Costs of irrigation $/ ML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86137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hyperlink" Target="https://www.dpi.nsw.gov.au/__data/assets/pdf_file/0003/564780/electric-pumps-performance-and-efficiency.pdf" TargetMode="External"/><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hyperlink" Target="https://www.cottoninfo.com.au/energy-use-efficiency" TargetMode="External"/><Relationship Id="rId5" Type="http://schemas.openxmlformats.org/officeDocument/2006/relationships/hyperlink" Target="https://www.cottoninfo.com.au/publications/energy-fundamentals-energy-use-water-pumping" TargetMode="External"/><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9.xml"/></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chart" Target="../charts/chart6.xml"/></Relationships>
</file>

<file path=xl/drawings/_rels/drawing4.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5.xml.rels><?xml version="1.0" encoding="UTF-8" standalone="yes"?>
<Relationships xmlns="http://schemas.openxmlformats.org/package/2006/relationships"><Relationship Id="rId1" Type="http://schemas.openxmlformats.org/officeDocument/2006/relationships/image" Target="../media/image13.png"/></Relationships>
</file>

<file path=xl/drawings/_rels/drawing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8.xml.rels><?xml version="1.0" encoding="UTF-8" standalone="yes"?>
<Relationships xmlns="http://schemas.openxmlformats.org/package/2006/relationships"><Relationship Id="rId1" Type="http://schemas.openxmlformats.org/officeDocument/2006/relationships/image" Target="../media/image15.png"/></Relationships>
</file>

<file path=xl/drawings/_rels/drawing9.xml.rels><?xml version="1.0" encoding="UTF-8" standalone="yes"?>
<Relationships xmlns="http://schemas.openxmlformats.org/package/2006/relationships"><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104774</xdr:colOff>
      <xdr:row>0</xdr:row>
      <xdr:rowOff>95248</xdr:rowOff>
    </xdr:from>
    <xdr:to>
      <xdr:col>16</xdr:col>
      <xdr:colOff>44823</xdr:colOff>
      <xdr:row>95</xdr:row>
      <xdr:rowOff>22412</xdr:rowOff>
    </xdr:to>
    <xdr:sp macro="" textlink="">
      <xdr:nvSpPr>
        <xdr:cNvPr id="18" name="TextBox 1">
          <a:extLst>
            <a:ext uri="{FF2B5EF4-FFF2-40B4-BE49-F238E27FC236}">
              <a16:creationId xmlns:a16="http://schemas.microsoft.com/office/drawing/2014/main" id="{288639E4-8742-4467-881A-BB9ACEF9A1CC}"/>
            </a:ext>
          </a:extLst>
        </xdr:cNvPr>
        <xdr:cNvSpPr txBox="1"/>
      </xdr:nvSpPr>
      <xdr:spPr>
        <a:xfrm>
          <a:off x="104774" y="95248"/>
          <a:ext cx="9621931" cy="180358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AU" sz="1600" b="1"/>
        </a:p>
        <a:p>
          <a:endParaRPr lang="en-AU" sz="1600" b="1"/>
        </a:p>
        <a:p>
          <a:r>
            <a:rPr lang="en-AU" sz="1600" b="1"/>
            <a:t>Energy tool - travelling</a:t>
          </a:r>
          <a:r>
            <a:rPr lang="en-AU" sz="1600" b="1" baseline="0"/>
            <a:t> </a:t>
          </a:r>
          <a:r>
            <a:rPr lang="en-AU" sz="1600" b="1"/>
            <a:t>irrigation systems</a:t>
          </a:r>
        </a:p>
        <a:p>
          <a:endParaRPr lang="en-AU" sz="1600" b="1"/>
        </a:p>
        <a:p>
          <a:endParaRPr lang="en-AU" sz="1100"/>
        </a:p>
        <a:p>
          <a:r>
            <a:rPr lang="en-AU" sz="1100"/>
            <a:t>This tool will provide a guide to understanding if the energy use</a:t>
          </a:r>
          <a:r>
            <a:rPr lang="en-AU" sz="1100" baseline="0"/>
            <a:t> of</a:t>
          </a:r>
          <a:r>
            <a:rPr lang="en-AU" sz="1100"/>
            <a:t> your irrigation</a:t>
          </a:r>
          <a:r>
            <a:rPr lang="en-AU" sz="1100" baseline="0"/>
            <a:t> system is optimal, based on the total head, energy source (diesel or electricity) and cost, area irrigated, and your irrigation goals.</a:t>
          </a:r>
        </a:p>
        <a:p>
          <a:endParaRPr lang="en-AU" sz="1100" baseline="0"/>
        </a:p>
        <a:p>
          <a:r>
            <a:rPr lang="en-AU" sz="1100" baseline="0"/>
            <a:t>The tool has 3 steps and a System Analysis report which can be selected via the tabs at the bottom of the page:</a:t>
          </a:r>
        </a:p>
        <a:p>
          <a:pPr lvl="1"/>
          <a:r>
            <a:rPr lang="en-AU" sz="1100" baseline="0"/>
            <a:t>- </a:t>
          </a:r>
          <a:r>
            <a:rPr lang="en-AU" sz="1100" b="1" baseline="0"/>
            <a:t>STEP 1 Benchmark </a:t>
          </a:r>
          <a:r>
            <a:rPr lang="en-AU" sz="1100" baseline="0"/>
            <a:t>- Provides a rough estimate of pumping costs from your water and energy bills and benchmarks your pumping costs against other systems to see if cost savings are likely.</a:t>
          </a:r>
        </a:p>
        <a:p>
          <a:pPr lvl="1"/>
          <a:endParaRPr lang="en-AU" sz="1100" baseline="0"/>
        </a:p>
        <a:p>
          <a:pPr lvl="1"/>
          <a:r>
            <a:rPr lang="en-AU" sz="1100" baseline="0"/>
            <a:t>- </a:t>
          </a:r>
          <a:r>
            <a:rPr lang="en-AU" sz="1100" b="1" baseline="0">
              <a:solidFill>
                <a:schemeClr val="dk1"/>
              </a:solidFill>
              <a:effectLst/>
              <a:latin typeface="+mn-lt"/>
              <a:ea typeface="+mn-ea"/>
              <a:cs typeface="+mn-cs"/>
            </a:rPr>
            <a:t>STEP 2 Detailed analysis </a:t>
          </a:r>
          <a:r>
            <a:rPr lang="en-AU" sz="1100" baseline="0">
              <a:solidFill>
                <a:schemeClr val="dk1"/>
              </a:solidFill>
              <a:effectLst/>
              <a:latin typeface="+mn-lt"/>
              <a:ea typeface="+mn-ea"/>
              <a:cs typeface="+mn-cs"/>
            </a:rPr>
            <a:t>- Enter measured pressures at designated points on your irrigation system to calculate the energy costs of different components of the system and potential cost savings from improving the system. This step will also identify if your system pressure is too low, negatively impacting on application uniformty. </a:t>
          </a:r>
        </a:p>
        <a:p>
          <a:pPr lvl="1"/>
          <a:endParaRPr lang="en-AU" sz="1100" baseline="0"/>
        </a:p>
        <a:p>
          <a:pPr lvl="1"/>
          <a:r>
            <a:rPr lang="en-AU" sz="1100" baseline="0"/>
            <a:t>- </a:t>
          </a:r>
          <a:r>
            <a:rPr lang="en-AU" sz="1100" b="1" baseline="0">
              <a:solidFill>
                <a:schemeClr val="dk1"/>
              </a:solidFill>
              <a:effectLst/>
              <a:latin typeface="+mn-lt"/>
              <a:ea typeface="+mn-ea"/>
              <a:cs typeface="+mn-cs"/>
            </a:rPr>
            <a:t>STEP 3 System capacity </a:t>
          </a:r>
          <a:r>
            <a:rPr lang="en-AU" sz="1100" baseline="0">
              <a:solidFill>
                <a:schemeClr val="dk1"/>
              </a:solidFill>
              <a:effectLst/>
              <a:latin typeface="+mn-lt"/>
              <a:ea typeface="+mn-ea"/>
              <a:cs typeface="+mn-cs"/>
            </a:rPr>
            <a:t>- Enter information about the area irrigated, scheduling practices and time to move irrigator to calculate a 'Managed System Capacity'. This will give an indication if your system is designed well enough to keep up with crop water requirements for the area being irrigated.</a:t>
          </a:r>
        </a:p>
        <a:p>
          <a:pPr lvl="1"/>
          <a:endParaRPr lang="en-AU" sz="1100" baseline="0">
            <a:solidFill>
              <a:schemeClr val="dk1"/>
            </a:solidFill>
            <a:effectLst/>
            <a:latin typeface="+mn-lt"/>
            <a:ea typeface="+mn-ea"/>
            <a:cs typeface="+mn-cs"/>
          </a:endParaRPr>
        </a:p>
        <a:p>
          <a:pPr lvl="1"/>
          <a:r>
            <a:rPr lang="en-AU" sz="1100" baseline="0">
              <a:solidFill>
                <a:schemeClr val="dk1"/>
              </a:solidFill>
              <a:effectLst/>
              <a:latin typeface="+mn-lt"/>
              <a:ea typeface="+mn-ea"/>
              <a:cs typeface="+mn-cs"/>
            </a:rPr>
            <a:t>- </a:t>
          </a:r>
          <a:r>
            <a:rPr lang="en-AU" sz="1100" b="1" baseline="0">
              <a:solidFill>
                <a:schemeClr val="dk1"/>
              </a:solidFill>
              <a:effectLst/>
              <a:latin typeface="+mn-lt"/>
              <a:ea typeface="+mn-ea"/>
              <a:cs typeface="+mn-cs"/>
            </a:rPr>
            <a:t>System Analysis Report </a:t>
          </a:r>
          <a:r>
            <a:rPr lang="en-AU" sz="1100" baseline="0">
              <a:solidFill>
                <a:schemeClr val="dk1"/>
              </a:solidFill>
              <a:effectLst/>
              <a:latin typeface="+mn-lt"/>
              <a:ea typeface="+mn-ea"/>
              <a:cs typeface="+mn-cs"/>
            </a:rPr>
            <a:t>- This provides a summary of data entered in step 2, showing current operating costs and potential savings made by improving your irrigation system.</a:t>
          </a:r>
          <a:r>
            <a:rPr lang="en-AU" sz="1100" baseline="0"/>
            <a:t> </a:t>
          </a:r>
        </a:p>
        <a:p>
          <a:endParaRPr lang="en-AU" sz="1100" baseline="0"/>
        </a:p>
        <a:p>
          <a:r>
            <a:rPr lang="en-AU" sz="1100" b="1" baseline="0"/>
            <a:t>To use each sheet:</a:t>
          </a:r>
        </a:p>
        <a:p>
          <a:endParaRPr lang="en-AU" sz="1100" b="1" baseline="0"/>
        </a:p>
        <a:p>
          <a:r>
            <a:rPr lang="en-AU" sz="1100" baseline="0"/>
            <a:t>	input your own data in the light blue cells,</a:t>
          </a:r>
        </a:p>
        <a:p>
          <a:endParaRPr lang="en-AU" sz="1100" baseline="0"/>
        </a:p>
        <a:p>
          <a:r>
            <a:rPr lang="en-AU" sz="1100" baseline="0"/>
            <a:t>	 select the appropriate options from the dark blue cell menus</a:t>
          </a:r>
        </a:p>
        <a:p>
          <a:endParaRPr lang="en-AU" sz="1100" baseline="0"/>
        </a:p>
        <a:p>
          <a:endParaRPr lang="en-AU" sz="1100" baseline="0"/>
        </a:p>
        <a:p>
          <a:r>
            <a:rPr lang="en-AU" sz="1100" baseline="0"/>
            <a:t>	hover mouse over the help button (top left corner of each tab) for data input and interpretation help</a:t>
          </a:r>
        </a:p>
        <a:p>
          <a:endParaRPr lang="en-AU" sz="1100" baseline="0"/>
        </a:p>
        <a:p>
          <a:r>
            <a:rPr lang="en-AU" sz="1100" baseline="0"/>
            <a:t>Results and outputs are shown in </a:t>
          </a:r>
          <a:endParaRPr lang="en-AU" sz="1100" baseline="0">
            <a:solidFill>
              <a:srgbClr val="FF0000"/>
            </a:solidFill>
          </a:endParaRPr>
        </a:p>
        <a:p>
          <a:endParaRPr lang="en-AU" sz="1100" baseline="0"/>
        </a:p>
        <a:p>
          <a:r>
            <a:rPr lang="en-AU" sz="1100" baseline="0"/>
            <a:t>	hover mouse over boxes with red triangles and red text for additional explanation.</a:t>
          </a:r>
        </a:p>
        <a:p>
          <a:endParaRPr lang="en-AU" sz="1100" baseline="0"/>
        </a:p>
        <a:p>
          <a:r>
            <a:rPr lang="en-AU" sz="1100" baseline="0"/>
            <a:t>	shown when there is a problem with the irrigation system or data inputted.</a:t>
          </a:r>
        </a:p>
        <a:p>
          <a:endParaRPr lang="en-AU" sz="1100" baseline="0"/>
        </a:p>
        <a:p>
          <a:pPr marL="0" marR="0" lvl="0" indent="0" defTabSz="914400" eaLnBrk="1" fontAlgn="auto" latinLnBrk="0" hangingPunct="1">
            <a:lnSpc>
              <a:spcPct val="100000"/>
            </a:lnSpc>
            <a:spcBef>
              <a:spcPts val="0"/>
            </a:spcBef>
            <a:spcAft>
              <a:spcPts val="0"/>
            </a:spcAft>
            <a:buClrTx/>
            <a:buSzTx/>
            <a:buFontTx/>
            <a:buNone/>
            <a:tabLst/>
            <a:defRPr/>
          </a:pPr>
          <a:r>
            <a:rPr lang="en-AU" sz="1100" baseline="0">
              <a:solidFill>
                <a:schemeClr val="dk1"/>
              </a:solidFill>
              <a:effectLst/>
              <a:latin typeface="+mn-lt"/>
              <a:ea typeface="+mn-ea"/>
              <a:cs typeface="+mn-cs"/>
            </a:rPr>
            <a:t>	shown when there is an oportunity to improve a component of the irrigation system.</a:t>
          </a:r>
        </a:p>
        <a:p>
          <a:pPr marL="0" marR="0" lvl="0" indent="0" defTabSz="914400" eaLnBrk="1" fontAlgn="auto" latinLnBrk="0" hangingPunct="1">
            <a:lnSpc>
              <a:spcPct val="100000"/>
            </a:lnSpc>
            <a:spcBef>
              <a:spcPts val="0"/>
            </a:spcBef>
            <a:spcAft>
              <a:spcPts val="0"/>
            </a:spcAft>
            <a:buClrTx/>
            <a:buSzTx/>
            <a:buFontTx/>
            <a:buNone/>
            <a:tabLst/>
            <a:defRPr/>
          </a:pPr>
          <a:endParaRPr lang="en-AU">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baseline="0">
              <a:solidFill>
                <a:schemeClr val="dk1"/>
              </a:solidFill>
              <a:effectLst/>
              <a:latin typeface="+mn-lt"/>
              <a:ea typeface="+mn-ea"/>
              <a:cs typeface="+mn-cs"/>
            </a:rPr>
            <a:t>	shown when a component of irrigation system is working well.</a:t>
          </a:r>
          <a:endParaRPr lang="en-AU" sz="1100" baseline="0"/>
        </a:p>
        <a:p>
          <a:endParaRPr lang="en-AU" sz="1100" baseline="0"/>
        </a:p>
        <a:p>
          <a:endParaRPr lang="en-AU" sz="1100" baseline="0"/>
        </a:p>
        <a:p>
          <a:r>
            <a:rPr lang="en-AU" sz="1100" b="1" baseline="0"/>
            <a:t>Data you will need:</a:t>
          </a:r>
        </a:p>
        <a:p>
          <a:r>
            <a:rPr lang="en-AU" sz="1100" b="0" baseline="0"/>
            <a:t>	- Water use (monthly, quarterly or annual)</a:t>
          </a:r>
        </a:p>
        <a:p>
          <a:pPr marL="0" marR="0" lvl="0" indent="0" defTabSz="914400" eaLnBrk="1" fontAlgn="auto" latinLnBrk="0" hangingPunct="1">
            <a:lnSpc>
              <a:spcPct val="100000"/>
            </a:lnSpc>
            <a:spcBef>
              <a:spcPts val="0"/>
            </a:spcBef>
            <a:spcAft>
              <a:spcPts val="0"/>
            </a:spcAft>
            <a:buClrTx/>
            <a:buSzTx/>
            <a:buFontTx/>
            <a:buNone/>
            <a:tabLst/>
            <a:defRPr/>
          </a:pPr>
          <a:r>
            <a:rPr lang="en-AU" sz="1100" b="0" baseline="0"/>
            <a:t>	- Diesel or electricity usage </a:t>
          </a:r>
          <a:r>
            <a:rPr lang="en-AU" sz="1100" b="0" baseline="0">
              <a:solidFill>
                <a:schemeClr val="dk1"/>
              </a:solidFill>
              <a:effectLst/>
              <a:latin typeface="+mn-lt"/>
              <a:ea typeface="+mn-ea"/>
              <a:cs typeface="+mn-cs"/>
            </a:rPr>
            <a:t>(monthly, quarterly or annual)</a:t>
          </a:r>
          <a:endParaRPr lang="en-AU" sz="1100" b="0" baseline="0"/>
        </a:p>
        <a:p>
          <a:pPr marL="0" marR="0" lvl="0" indent="0" defTabSz="914400" eaLnBrk="1" fontAlgn="auto" latinLnBrk="0" hangingPunct="1">
            <a:lnSpc>
              <a:spcPct val="100000"/>
            </a:lnSpc>
            <a:spcBef>
              <a:spcPts val="0"/>
            </a:spcBef>
            <a:spcAft>
              <a:spcPts val="0"/>
            </a:spcAft>
            <a:buClrTx/>
            <a:buSzTx/>
            <a:buFontTx/>
            <a:buNone/>
            <a:tabLst/>
            <a:defRPr/>
          </a:pPr>
          <a:r>
            <a:rPr lang="en-AU" sz="1100" b="0" baseline="0"/>
            <a:t>	- </a:t>
          </a:r>
          <a:r>
            <a:rPr lang="en-AU" sz="1100" b="0" baseline="0">
              <a:solidFill>
                <a:schemeClr val="dk1"/>
              </a:solidFill>
              <a:effectLst/>
              <a:latin typeface="+mn-lt"/>
              <a:ea typeface="+mn-ea"/>
              <a:cs typeface="+mn-cs"/>
            </a:rPr>
            <a:t>Diesel or electricity costs (monthly, quarterly or annual)</a:t>
          </a:r>
        </a:p>
        <a:p>
          <a:pPr marL="0" marR="0" lvl="0" indent="0" defTabSz="914400" eaLnBrk="1" fontAlgn="auto" latinLnBrk="0" hangingPunct="1">
            <a:lnSpc>
              <a:spcPct val="100000"/>
            </a:lnSpc>
            <a:spcBef>
              <a:spcPts val="0"/>
            </a:spcBef>
            <a:spcAft>
              <a:spcPts val="0"/>
            </a:spcAft>
            <a:buClrTx/>
            <a:buSzTx/>
            <a:buFontTx/>
            <a:buNone/>
            <a:tabLst/>
            <a:defRPr/>
          </a:pPr>
          <a:r>
            <a:rPr lang="en-AU" sz="1100" b="0" baseline="0">
              <a:solidFill>
                <a:schemeClr val="dk1"/>
              </a:solidFill>
              <a:effectLst/>
              <a:latin typeface="+mn-lt"/>
              <a:ea typeface="+mn-ea"/>
              <a:cs typeface="+mn-cs"/>
            </a:rPr>
            <a:t>	- Pump flow rates</a:t>
          </a:r>
        </a:p>
        <a:p>
          <a:pPr marL="0" marR="0" lvl="0" indent="0" defTabSz="914400" eaLnBrk="1" fontAlgn="auto" latinLnBrk="0" hangingPunct="1">
            <a:lnSpc>
              <a:spcPct val="100000"/>
            </a:lnSpc>
            <a:spcBef>
              <a:spcPts val="0"/>
            </a:spcBef>
            <a:spcAft>
              <a:spcPts val="0"/>
            </a:spcAft>
            <a:buClrTx/>
            <a:buSzTx/>
            <a:buFontTx/>
            <a:buNone/>
            <a:tabLst/>
            <a:defRPr/>
          </a:pPr>
          <a:r>
            <a:rPr lang="en-AU" sz="1100" b="0" baseline="0">
              <a:solidFill>
                <a:schemeClr val="dk1"/>
              </a:solidFill>
              <a:effectLst/>
              <a:latin typeface="+mn-lt"/>
              <a:ea typeface="+mn-ea"/>
              <a:cs typeface="+mn-cs"/>
            </a:rPr>
            <a:t>	- System pressure at the pump, hydrant and gun</a:t>
          </a:r>
          <a:endParaRPr lang="en-AU">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b="0" baseline="0">
              <a:solidFill>
                <a:schemeClr val="dk1"/>
              </a:solidFill>
              <a:effectLst/>
              <a:latin typeface="+mn-lt"/>
              <a:ea typeface="+mn-ea"/>
              <a:cs typeface="+mn-cs"/>
            </a:rPr>
            <a:t>	- Vertical lift heights for water</a:t>
          </a:r>
          <a:endParaRPr lang="en-AU">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AU" sz="1100" b="1" baseline="0"/>
        </a:p>
        <a:p>
          <a:endParaRPr lang="en-AU" sz="1100" baseline="0"/>
        </a:p>
        <a:p>
          <a:r>
            <a:rPr lang="en-AU" sz="1200" b="1" baseline="0"/>
            <a:t>Is your pumping system efficient?</a:t>
          </a:r>
        </a:p>
        <a:p>
          <a:r>
            <a:rPr lang="en-AU" sz="1100" baseline="0">
              <a:solidFill>
                <a:schemeClr val="dk1"/>
              </a:solidFill>
              <a:effectLst/>
              <a:latin typeface="+mn-lt"/>
              <a:ea typeface="+mn-ea"/>
              <a:cs typeface="+mn-cs"/>
            </a:rPr>
            <a:t>This tool will give an indication of how efficiently your pump is operating. </a:t>
          </a:r>
          <a:r>
            <a:rPr lang="en-AU" sz="1100" b="1" baseline="0">
              <a:solidFill>
                <a:schemeClr val="dk1"/>
              </a:solidFill>
              <a:effectLst/>
              <a:latin typeface="+mn-lt"/>
              <a:ea typeface="+mn-ea"/>
              <a:cs typeface="+mn-cs"/>
            </a:rPr>
            <a:t>The minimum acceptable pump efficiency is 70%. </a:t>
          </a:r>
          <a:endParaRPr lang="en-AU">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baseline="0">
              <a:solidFill>
                <a:schemeClr val="dk1"/>
              </a:solidFill>
              <a:effectLst/>
              <a:latin typeface="+mn-lt"/>
              <a:ea typeface="+mn-ea"/>
              <a:cs typeface="+mn-cs"/>
            </a:rPr>
            <a:t>It will also indicate if the system pressure is within the desired operating range. </a:t>
          </a:r>
          <a:r>
            <a:rPr lang="en-AU" sz="1100" b="0" baseline="0">
              <a:solidFill>
                <a:schemeClr val="dk1"/>
              </a:solidFill>
              <a:effectLst/>
              <a:latin typeface="+mn-lt"/>
              <a:ea typeface="+mn-ea"/>
              <a:cs typeface="+mn-cs"/>
            </a:rPr>
            <a:t>Operating pressure may be too high, unnecessarily increasing costs and possibly upsetting the emitter pattern. Operating pressure also may be too low, which reduces operating costs but always diminishes irrigation performance and reduces crop productivity. </a:t>
          </a:r>
          <a:r>
            <a:rPr lang="en-AU" sz="1100" baseline="0">
              <a:solidFill>
                <a:schemeClr val="dk1"/>
              </a:solidFill>
              <a:effectLst/>
              <a:latin typeface="+mn-lt"/>
              <a:ea typeface="+mn-ea"/>
              <a:cs typeface="+mn-cs"/>
            </a:rPr>
            <a:t>If system pressure is too low, potential energy savings will be reduced because energy costs will likely increase if changes are made to improve application uniformity, which should be your first priority. Improved application uniformity can increase crop production.</a:t>
          </a:r>
        </a:p>
        <a:p>
          <a:pPr marL="0" marR="0" lvl="0" indent="0" defTabSz="914400" eaLnBrk="1" fontAlgn="auto" latinLnBrk="0" hangingPunct="1">
            <a:lnSpc>
              <a:spcPct val="100000"/>
            </a:lnSpc>
            <a:spcBef>
              <a:spcPts val="0"/>
            </a:spcBef>
            <a:spcAft>
              <a:spcPts val="0"/>
            </a:spcAft>
            <a:buClrTx/>
            <a:buSzTx/>
            <a:buFontTx/>
            <a:buNone/>
            <a:tabLst/>
            <a:defRPr/>
          </a:pPr>
          <a:endParaRPr lang="en-AU">
            <a:effectLst/>
          </a:endParaRPr>
        </a:p>
        <a:p>
          <a:r>
            <a:rPr lang="en-AU" sz="1100" b="0" baseline="0">
              <a:solidFill>
                <a:schemeClr val="dk1"/>
              </a:solidFill>
              <a:effectLst/>
              <a:latin typeface="+mn-lt"/>
              <a:ea typeface="+mn-ea"/>
              <a:cs typeface="+mn-cs"/>
            </a:rPr>
            <a:t>This tool</a:t>
          </a:r>
          <a:r>
            <a:rPr lang="en-AU" sz="1100" baseline="0">
              <a:solidFill>
                <a:schemeClr val="dk1"/>
              </a:solidFill>
              <a:effectLst/>
              <a:latin typeface="+mn-lt"/>
              <a:ea typeface="+mn-ea"/>
              <a:cs typeface="+mn-cs"/>
            </a:rPr>
            <a:t> also calculates the pumping cost per ML and breaks down where the costs occur in your system components.</a:t>
          </a:r>
          <a:endParaRPr lang="en-AU">
            <a:effectLst/>
          </a:endParaRPr>
        </a:p>
        <a:p>
          <a:endParaRPr lang="en-AU">
            <a:effectLst/>
          </a:endParaRPr>
        </a:p>
        <a:p>
          <a:r>
            <a:rPr lang="en-AU" sz="1200" b="1" baseline="0"/>
            <a:t>Causes of excess energy use</a:t>
          </a:r>
        </a:p>
        <a:p>
          <a:r>
            <a:rPr lang="en-AU" sz="1100" b="0" baseline="0"/>
            <a:t>Excess energy use can be caused by poor system design, typically in pipes being too small to carry the volume of water required at the necessary flow rate and pressure for the system to operate as intended. Operating outside of the pump's optimal performance range through varied speed or incorrect impeller size reduces efficiency and increases costs. Running your system at a higher pressure than required reduces efficiency, although this determination should be based on the pressure at the furthest point of the system to ensure the emitter(s) are performing as required.</a:t>
          </a:r>
        </a:p>
        <a:p>
          <a:endParaRPr lang="en-AU" sz="1100" b="0" i="0" u="none" strike="noStrike" baseline="0">
            <a:solidFill>
              <a:schemeClr val="dk1"/>
            </a:solidFill>
            <a:effectLst/>
            <a:latin typeface="+mn-lt"/>
            <a:ea typeface="+mn-ea"/>
            <a:cs typeface="+mn-cs"/>
          </a:endParaRPr>
        </a:p>
        <a:p>
          <a:r>
            <a:rPr lang="en-AU" sz="1100" b="1" i="0">
              <a:solidFill>
                <a:schemeClr val="dk1"/>
              </a:solidFill>
              <a:effectLst/>
              <a:latin typeface="+mn-lt"/>
              <a:ea typeface="+mn-ea"/>
              <a:cs typeface="+mn-cs"/>
            </a:rPr>
            <a:t>Notes/assumptions</a:t>
          </a:r>
          <a:endParaRPr lang="en-AU" sz="1200">
            <a:effectLst/>
          </a:endParaRPr>
        </a:p>
        <a:p>
          <a:r>
            <a:rPr lang="en-AU" sz="1100" b="0" i="0">
              <a:solidFill>
                <a:schemeClr val="dk1"/>
              </a:solidFill>
              <a:effectLst/>
              <a:latin typeface="+mn-lt"/>
              <a:ea typeface="+mn-ea"/>
              <a:cs typeface="+mn-cs"/>
            </a:rPr>
            <a:t>* 1 ML lifted 1 metre of height requires 4.55 kilowatt</a:t>
          </a:r>
          <a:r>
            <a:rPr lang="en-AU" sz="1100" b="0" i="0" baseline="0">
              <a:solidFill>
                <a:schemeClr val="dk1"/>
              </a:solidFill>
              <a:effectLst/>
              <a:latin typeface="+mn-lt"/>
              <a:ea typeface="+mn-ea"/>
              <a:cs typeface="+mn-cs"/>
            </a:rPr>
            <a:t> </a:t>
          </a:r>
          <a:r>
            <a:rPr lang="en-AU" sz="1100" b="0" i="0">
              <a:solidFill>
                <a:schemeClr val="dk1"/>
              </a:solidFill>
              <a:effectLst/>
              <a:latin typeface="+mn-lt"/>
              <a:ea typeface="+mn-ea"/>
              <a:cs typeface="+mn-cs"/>
            </a:rPr>
            <a:t>hours (kWh) of electricity,</a:t>
          </a:r>
          <a:r>
            <a:rPr lang="en-AU" sz="1100" b="0" i="0" baseline="0">
              <a:solidFill>
                <a:schemeClr val="dk1"/>
              </a:solidFill>
              <a:effectLst/>
              <a:latin typeface="+mn-lt"/>
              <a:ea typeface="+mn-ea"/>
              <a:cs typeface="+mn-cs"/>
            </a:rPr>
            <a:t> allowing for efficiency losses for </a:t>
          </a:r>
          <a:r>
            <a:rPr lang="en-AU" sz="1100" b="0" i="0">
              <a:solidFill>
                <a:schemeClr val="dk1"/>
              </a:solidFill>
              <a:effectLst/>
              <a:latin typeface="+mn-lt"/>
              <a:ea typeface="+mn-ea"/>
              <a:cs typeface="+mn-cs"/>
            </a:rPr>
            <a:t>pumps (70% efficient), drive train (95% efficient) and electric motor (90% efficient).</a:t>
          </a:r>
          <a:endParaRPr lang="en-AU" sz="1200">
            <a:effectLst/>
          </a:endParaRPr>
        </a:p>
        <a:p>
          <a:r>
            <a:rPr lang="en-AU" sz="1100" b="0" i="0">
              <a:solidFill>
                <a:schemeClr val="dk1"/>
              </a:solidFill>
              <a:effectLst/>
              <a:latin typeface="+mn-lt"/>
              <a:ea typeface="+mn-ea"/>
              <a:cs typeface="+mn-cs"/>
            </a:rPr>
            <a:t>* 1 ML lifted 1 metre of height requires 1.10 litres of diesel,</a:t>
          </a:r>
          <a:r>
            <a:rPr lang="en-AU" sz="1100">
              <a:solidFill>
                <a:schemeClr val="dk1"/>
              </a:solidFill>
              <a:effectLst/>
              <a:latin typeface="+mn-lt"/>
              <a:ea typeface="+mn-ea"/>
              <a:cs typeface="+mn-cs"/>
            </a:rPr>
            <a:t> </a:t>
          </a:r>
          <a:r>
            <a:rPr lang="en-AU" sz="1100" b="0" i="0" baseline="0">
              <a:solidFill>
                <a:schemeClr val="dk1"/>
              </a:solidFill>
              <a:effectLst/>
              <a:latin typeface="+mn-lt"/>
              <a:ea typeface="+mn-ea"/>
              <a:cs typeface="+mn-cs"/>
            </a:rPr>
            <a:t>allowing for efficiency losses for </a:t>
          </a:r>
          <a:r>
            <a:rPr lang="en-AU" sz="1100" b="0" i="0">
              <a:solidFill>
                <a:schemeClr val="dk1"/>
              </a:solidFill>
              <a:effectLst/>
              <a:latin typeface="+mn-lt"/>
              <a:ea typeface="+mn-ea"/>
              <a:cs typeface="+mn-cs"/>
            </a:rPr>
            <a:t>pumps (70% efficient), drive train (95% efficient) and diesel motor (35% efficient).</a:t>
          </a:r>
          <a:endParaRPr lang="en-AU" sz="1200">
            <a:effectLst/>
          </a:endParaRPr>
        </a:p>
        <a:p>
          <a:endParaRPr lang="en-AU" sz="1100" b="0" i="0">
            <a:solidFill>
              <a:schemeClr val="dk1"/>
            </a:solidFill>
            <a:effectLst/>
            <a:latin typeface="+mn-lt"/>
            <a:ea typeface="+mn-ea"/>
            <a:cs typeface="+mn-cs"/>
          </a:endParaRPr>
        </a:p>
        <a:p>
          <a:r>
            <a:rPr lang="en-AU" sz="1100" b="0" i="0">
              <a:solidFill>
                <a:schemeClr val="dk1"/>
              </a:solidFill>
              <a:effectLst/>
              <a:latin typeface="+mn-lt"/>
              <a:ea typeface="+mn-ea"/>
              <a:cs typeface="+mn-cs"/>
            </a:rPr>
            <a:t>Total Dynamic Head consists of 3 components added together:</a:t>
          </a:r>
          <a:endParaRPr lang="en-AU" sz="1200">
            <a:effectLst/>
          </a:endParaRPr>
        </a:p>
        <a:p>
          <a:r>
            <a:rPr lang="en-AU" sz="1100" b="0" i="0">
              <a:solidFill>
                <a:schemeClr val="dk1"/>
              </a:solidFill>
              <a:effectLst/>
              <a:latin typeface="+mn-lt"/>
              <a:ea typeface="+mn-ea"/>
              <a:cs typeface="+mn-cs"/>
            </a:rPr>
            <a:t>1. vertical height difference between the water supply level and the level the water is being pumped to (Static Lift, SL, or Static Head, SH).</a:t>
          </a:r>
          <a:endParaRPr lang="en-AU" sz="1200">
            <a:effectLst/>
          </a:endParaRPr>
        </a:p>
        <a:p>
          <a:r>
            <a:rPr lang="en-AU" sz="1100" b="0" i="0">
              <a:solidFill>
                <a:schemeClr val="dk1"/>
              </a:solidFill>
              <a:effectLst/>
              <a:latin typeface="+mn-lt"/>
              <a:ea typeface="+mn-ea"/>
              <a:cs typeface="+mn-cs"/>
            </a:rPr>
            <a:t>2. losses due to friction in pipes and fittings (Friction Head,</a:t>
          </a:r>
          <a:r>
            <a:rPr lang="en-AU" sz="1100" b="0" i="0" baseline="0">
              <a:solidFill>
                <a:schemeClr val="dk1"/>
              </a:solidFill>
              <a:effectLst/>
              <a:latin typeface="+mn-lt"/>
              <a:ea typeface="+mn-ea"/>
              <a:cs typeface="+mn-cs"/>
            </a:rPr>
            <a:t> FH).</a:t>
          </a:r>
        </a:p>
        <a:p>
          <a:r>
            <a:rPr lang="en-AU" sz="1100" b="0" i="0" baseline="0">
              <a:solidFill>
                <a:schemeClr val="dk1"/>
              </a:solidFill>
              <a:effectLst/>
              <a:latin typeface="+mn-lt"/>
              <a:ea typeface="+mn-ea"/>
              <a:cs typeface="+mn-cs"/>
            </a:rPr>
            <a:t>3. pressure at the emiiter (Pressure Head, PH).</a:t>
          </a:r>
          <a:endParaRPr lang="en-AU" sz="1200">
            <a:effectLst/>
          </a:endParaRPr>
        </a:p>
        <a:p>
          <a:endParaRPr lang="en-AU" sz="1100" b="1" i="0">
            <a:solidFill>
              <a:schemeClr val="dk1"/>
            </a:solidFill>
            <a:effectLst/>
            <a:latin typeface="+mn-lt"/>
            <a:ea typeface="+mn-ea"/>
            <a:cs typeface="+mn-cs"/>
          </a:endParaRPr>
        </a:p>
        <a:p>
          <a:r>
            <a:rPr lang="en-AU" sz="1100" b="1" i="0">
              <a:solidFill>
                <a:schemeClr val="dk1"/>
              </a:solidFill>
              <a:effectLst/>
              <a:latin typeface="+mn-lt"/>
              <a:ea typeface="+mn-ea"/>
              <a:cs typeface="+mn-cs"/>
            </a:rPr>
            <a:t>Further</a:t>
          </a:r>
          <a:r>
            <a:rPr lang="en-AU" sz="1100" b="1" i="0" baseline="0">
              <a:solidFill>
                <a:schemeClr val="dk1"/>
              </a:solidFill>
              <a:effectLst/>
              <a:latin typeface="+mn-lt"/>
              <a:ea typeface="+mn-ea"/>
              <a:cs typeface="+mn-cs"/>
            </a:rPr>
            <a:t> reading</a:t>
          </a:r>
          <a:r>
            <a:rPr lang="en-AU" sz="1100">
              <a:solidFill>
                <a:schemeClr val="dk1"/>
              </a:solidFill>
              <a:effectLst/>
              <a:latin typeface="+mn-lt"/>
              <a:ea typeface="+mn-ea"/>
              <a:cs typeface="+mn-cs"/>
            </a:rPr>
            <a:t> </a:t>
          </a:r>
        </a:p>
        <a:p>
          <a:endParaRPr lang="en-AU" sz="1100">
            <a:solidFill>
              <a:schemeClr val="dk1"/>
            </a:solidFill>
            <a:effectLst/>
            <a:latin typeface="+mn-lt"/>
            <a:ea typeface="+mn-ea"/>
            <a:cs typeface="+mn-cs"/>
          </a:endParaRPr>
        </a:p>
        <a:p>
          <a:endParaRPr lang="en-AU" sz="1100">
            <a:solidFill>
              <a:schemeClr val="dk1"/>
            </a:solidFill>
            <a:effectLst/>
            <a:latin typeface="+mn-lt"/>
            <a:ea typeface="+mn-ea"/>
            <a:cs typeface="+mn-cs"/>
          </a:endParaRPr>
        </a:p>
        <a:p>
          <a:endParaRPr lang="en-AU" sz="1100">
            <a:solidFill>
              <a:schemeClr val="dk1"/>
            </a:solidFill>
            <a:effectLst/>
            <a:latin typeface="+mn-lt"/>
            <a:ea typeface="+mn-ea"/>
            <a:cs typeface="+mn-cs"/>
          </a:endParaRPr>
        </a:p>
        <a:p>
          <a:endParaRPr lang="en-AU" sz="1100">
            <a:solidFill>
              <a:schemeClr val="dk1"/>
            </a:solidFill>
            <a:effectLst/>
            <a:latin typeface="+mn-lt"/>
            <a:ea typeface="+mn-ea"/>
            <a:cs typeface="+mn-cs"/>
          </a:endParaRPr>
        </a:p>
        <a:p>
          <a:endParaRPr lang="en-AU" sz="1100">
            <a:solidFill>
              <a:schemeClr val="dk1"/>
            </a:solidFill>
            <a:effectLst/>
            <a:latin typeface="+mn-lt"/>
            <a:ea typeface="+mn-ea"/>
            <a:cs typeface="+mn-cs"/>
          </a:endParaRPr>
        </a:p>
        <a:p>
          <a:endParaRPr lang="en-AU" sz="1100" b="1" i="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b="1" i="0">
              <a:solidFill>
                <a:schemeClr val="dk1"/>
              </a:solidFill>
              <a:effectLst/>
              <a:latin typeface="+mn-lt"/>
              <a:ea typeface="+mn-ea"/>
              <a:cs typeface="+mn-cs"/>
            </a:rPr>
            <a:t>Acknowledgements</a:t>
          </a:r>
          <a:endParaRPr lang="en-AU">
            <a:effectLst/>
          </a:endParaRPr>
        </a:p>
        <a:p>
          <a:endParaRPr lang="en-AU" sz="1100" b="1" i="1">
            <a:solidFill>
              <a:schemeClr val="dk1"/>
            </a:solidFill>
            <a:effectLst/>
            <a:latin typeface="+mn-lt"/>
            <a:ea typeface="+mn-ea"/>
            <a:cs typeface="+mn-cs"/>
          </a:endParaRPr>
        </a:p>
        <a:p>
          <a:endParaRPr lang="en-AU" sz="1100" b="1" i="1">
            <a:solidFill>
              <a:schemeClr val="dk1"/>
            </a:solidFill>
            <a:effectLst/>
            <a:latin typeface="+mn-lt"/>
            <a:ea typeface="+mn-ea"/>
            <a:cs typeface="+mn-cs"/>
          </a:endParaRPr>
        </a:p>
        <a:p>
          <a:endParaRPr lang="en-AU" sz="1100" b="1" i="1">
            <a:solidFill>
              <a:schemeClr val="dk1"/>
            </a:solidFill>
            <a:effectLst/>
            <a:latin typeface="+mn-lt"/>
            <a:ea typeface="+mn-ea"/>
            <a:cs typeface="+mn-cs"/>
          </a:endParaRPr>
        </a:p>
        <a:p>
          <a:endParaRPr lang="en-AU" sz="1100" b="1" i="1">
            <a:solidFill>
              <a:schemeClr val="dk1"/>
            </a:solidFill>
            <a:effectLst/>
            <a:latin typeface="+mn-lt"/>
            <a:ea typeface="+mn-ea"/>
            <a:cs typeface="+mn-cs"/>
          </a:endParaRPr>
        </a:p>
        <a:p>
          <a:r>
            <a:rPr lang="en-AU" sz="1100" b="1" i="1">
              <a:solidFill>
                <a:schemeClr val="dk1"/>
              </a:solidFill>
              <a:effectLst/>
              <a:latin typeface="+mn-lt"/>
              <a:ea typeface="+mn-ea"/>
              <a:cs typeface="+mn-cs"/>
            </a:rPr>
            <a:t>Disclaimer</a:t>
          </a:r>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This tool is provided for information purposes only. Because user input is required, no claim is made as to the accuracy and no guarantee is given that it is without flaws of any kind or is wholly appropriate for your particular purposes. The Victorian Government and this agency (Department of Jobs, Precincts and Regions) do not accept any liability to any person for the information or advice (or the use of such information or advice) which is provided. </a:t>
          </a:r>
        </a:p>
        <a:p>
          <a:endParaRPr lang="en-AU" sz="1100">
            <a:solidFill>
              <a:schemeClr val="dk1"/>
            </a:solidFill>
            <a:effectLst/>
            <a:latin typeface="+mn-lt"/>
            <a:ea typeface="+mn-ea"/>
            <a:cs typeface="+mn-cs"/>
          </a:endParaRPr>
        </a:p>
      </xdr:txBody>
    </xdr:sp>
    <xdr:clientData/>
  </xdr:twoCellAnchor>
  <xdr:twoCellAnchor>
    <xdr:from>
      <xdr:col>0</xdr:col>
      <xdr:colOff>308162</xdr:colOff>
      <xdr:row>31</xdr:row>
      <xdr:rowOff>155775</xdr:rowOff>
    </xdr:from>
    <xdr:to>
      <xdr:col>1</xdr:col>
      <xdr:colOff>308163</xdr:colOff>
      <xdr:row>33</xdr:row>
      <xdr:rowOff>12900</xdr:rowOff>
    </xdr:to>
    <xdr:grpSp>
      <xdr:nvGrpSpPr>
        <xdr:cNvPr id="12" name="Group 11">
          <a:extLst>
            <a:ext uri="{FF2B5EF4-FFF2-40B4-BE49-F238E27FC236}">
              <a16:creationId xmlns:a16="http://schemas.microsoft.com/office/drawing/2014/main" id="{4A6576E5-01BE-4A57-B9ED-B6B76F7724A8}"/>
            </a:ext>
          </a:extLst>
        </xdr:cNvPr>
        <xdr:cNvGrpSpPr/>
      </xdr:nvGrpSpPr>
      <xdr:grpSpPr>
        <a:xfrm>
          <a:off x="308162" y="6072481"/>
          <a:ext cx="605119" cy="238125"/>
          <a:chOff x="571500" y="1933575"/>
          <a:chExt cx="619125" cy="247650"/>
        </a:xfrm>
      </xdr:grpSpPr>
      <xdr:sp macro="" textlink="">
        <xdr:nvSpPr>
          <xdr:cNvPr id="10" name="Rectangle 9">
            <a:extLst>
              <a:ext uri="{FF2B5EF4-FFF2-40B4-BE49-F238E27FC236}">
                <a16:creationId xmlns:a16="http://schemas.microsoft.com/office/drawing/2014/main" id="{0795B629-5111-4A4E-93A7-D02FF70C20F0}"/>
              </a:ext>
            </a:extLst>
          </xdr:cNvPr>
          <xdr:cNvSpPr/>
        </xdr:nvSpPr>
        <xdr:spPr>
          <a:xfrm>
            <a:off x="571500" y="1933575"/>
            <a:ext cx="619124" cy="247650"/>
          </a:xfrm>
          <a:prstGeom prst="rect">
            <a:avLst/>
          </a:prstGeom>
          <a:solidFill>
            <a:schemeClr val="accent4">
              <a:lumMod val="20000"/>
              <a:lumOff val="80000"/>
            </a:schemeClr>
          </a:solidFill>
          <a:ln>
            <a:solidFill>
              <a:schemeClr val="accent2">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11" name="Right Triangle 10">
            <a:extLst>
              <a:ext uri="{FF2B5EF4-FFF2-40B4-BE49-F238E27FC236}">
                <a16:creationId xmlns:a16="http://schemas.microsoft.com/office/drawing/2014/main" id="{4515E54E-3AA0-4101-BFEB-79715EE04AFB}"/>
              </a:ext>
            </a:extLst>
          </xdr:cNvPr>
          <xdr:cNvSpPr/>
        </xdr:nvSpPr>
        <xdr:spPr>
          <a:xfrm rot="10800000">
            <a:off x="1076325" y="1933575"/>
            <a:ext cx="114300" cy="123825"/>
          </a:xfrm>
          <a:prstGeom prst="rtTriangle">
            <a:avLst/>
          </a:prstGeom>
          <a:solidFill>
            <a:srgbClr val="FF0000"/>
          </a:solidFill>
          <a:ln>
            <a:solidFill>
              <a:schemeClr val="accent2">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clientData/>
  </xdr:twoCellAnchor>
  <xdr:twoCellAnchor>
    <xdr:from>
      <xdr:col>0</xdr:col>
      <xdr:colOff>308162</xdr:colOff>
      <xdr:row>33</xdr:row>
      <xdr:rowOff>144567</xdr:rowOff>
    </xdr:from>
    <xdr:to>
      <xdr:col>1</xdr:col>
      <xdr:colOff>317686</xdr:colOff>
      <xdr:row>35</xdr:row>
      <xdr:rowOff>11217</xdr:rowOff>
    </xdr:to>
    <xdr:sp macro="" textlink="">
      <xdr:nvSpPr>
        <xdr:cNvPr id="13" name="Rectangle 12">
          <a:extLst>
            <a:ext uri="{FF2B5EF4-FFF2-40B4-BE49-F238E27FC236}">
              <a16:creationId xmlns:a16="http://schemas.microsoft.com/office/drawing/2014/main" id="{E7A110AF-6E2B-413C-BD0A-5DF2202DE7CF}"/>
            </a:ext>
          </a:extLst>
        </xdr:cNvPr>
        <xdr:cNvSpPr/>
      </xdr:nvSpPr>
      <xdr:spPr>
        <a:xfrm>
          <a:off x="308162" y="6440592"/>
          <a:ext cx="619124" cy="247650"/>
        </a:xfrm>
        <a:prstGeom prst="rect">
          <a:avLst/>
        </a:prstGeom>
        <a:solidFill>
          <a:srgbClr val="FFAFA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AU" sz="900">
              <a:solidFill>
                <a:schemeClr val="tx1"/>
              </a:solidFill>
            </a:rPr>
            <a:t>Warning!!</a:t>
          </a:r>
        </a:p>
      </xdr:txBody>
    </xdr:sp>
    <xdr:clientData/>
  </xdr:twoCellAnchor>
  <xdr:twoCellAnchor>
    <xdr:from>
      <xdr:col>0</xdr:col>
      <xdr:colOff>308162</xdr:colOff>
      <xdr:row>35</xdr:row>
      <xdr:rowOff>143998</xdr:rowOff>
    </xdr:from>
    <xdr:to>
      <xdr:col>1</xdr:col>
      <xdr:colOff>317686</xdr:colOff>
      <xdr:row>37</xdr:row>
      <xdr:rowOff>10648</xdr:rowOff>
    </xdr:to>
    <xdr:sp macro="" textlink="">
      <xdr:nvSpPr>
        <xdr:cNvPr id="14" name="Rectangle 13">
          <a:extLst>
            <a:ext uri="{FF2B5EF4-FFF2-40B4-BE49-F238E27FC236}">
              <a16:creationId xmlns:a16="http://schemas.microsoft.com/office/drawing/2014/main" id="{C6F8EEF7-5615-4E10-9D52-112E7BC2A1A8}"/>
            </a:ext>
          </a:extLst>
        </xdr:cNvPr>
        <xdr:cNvSpPr/>
      </xdr:nvSpPr>
      <xdr:spPr>
        <a:xfrm>
          <a:off x="308162" y="6821023"/>
          <a:ext cx="619124" cy="247650"/>
        </a:xfrm>
        <a:prstGeom prst="rect">
          <a:avLst/>
        </a:prstGeom>
        <a:solidFill>
          <a:srgbClr val="FFEB9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AU" sz="900">
              <a:solidFill>
                <a:schemeClr val="tx1"/>
              </a:solidFill>
            </a:rPr>
            <a:t>^Note:</a:t>
          </a:r>
        </a:p>
      </xdr:txBody>
    </xdr:sp>
    <xdr:clientData/>
  </xdr:twoCellAnchor>
  <xdr:twoCellAnchor>
    <xdr:from>
      <xdr:col>0</xdr:col>
      <xdr:colOff>308162</xdr:colOff>
      <xdr:row>37</xdr:row>
      <xdr:rowOff>114866</xdr:rowOff>
    </xdr:from>
    <xdr:to>
      <xdr:col>1</xdr:col>
      <xdr:colOff>317686</xdr:colOff>
      <xdr:row>38</xdr:row>
      <xdr:rowOff>172016</xdr:rowOff>
    </xdr:to>
    <xdr:sp macro="" textlink="">
      <xdr:nvSpPr>
        <xdr:cNvPr id="15" name="Rectangle 14">
          <a:extLst>
            <a:ext uri="{FF2B5EF4-FFF2-40B4-BE49-F238E27FC236}">
              <a16:creationId xmlns:a16="http://schemas.microsoft.com/office/drawing/2014/main" id="{084F200C-7DE7-4C7E-96A0-EB5D7C30318E}"/>
            </a:ext>
          </a:extLst>
        </xdr:cNvPr>
        <xdr:cNvSpPr/>
      </xdr:nvSpPr>
      <xdr:spPr>
        <a:xfrm>
          <a:off x="308162" y="7172891"/>
          <a:ext cx="619124" cy="247650"/>
        </a:xfrm>
        <a:prstGeom prst="rect">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AU" sz="900">
              <a:solidFill>
                <a:srgbClr val="006100"/>
              </a:solidFill>
            </a:rPr>
            <a:t>Good</a:t>
          </a:r>
        </a:p>
      </xdr:txBody>
    </xdr:sp>
    <xdr:clientData/>
  </xdr:twoCellAnchor>
  <xdr:twoCellAnchor>
    <xdr:from>
      <xdr:col>0</xdr:col>
      <xdr:colOff>308162</xdr:colOff>
      <xdr:row>28</xdr:row>
      <xdr:rowOff>2811</xdr:rowOff>
    </xdr:from>
    <xdr:to>
      <xdr:col>1</xdr:col>
      <xdr:colOff>308162</xdr:colOff>
      <xdr:row>29</xdr:row>
      <xdr:rowOff>50436</xdr:rowOff>
    </xdr:to>
    <xdr:sp macro="" textlink="">
      <xdr:nvSpPr>
        <xdr:cNvPr id="19" name="Rectangle 18">
          <a:extLst>
            <a:ext uri="{FF2B5EF4-FFF2-40B4-BE49-F238E27FC236}">
              <a16:creationId xmlns:a16="http://schemas.microsoft.com/office/drawing/2014/main" id="{6BB4B4FB-5BE8-411D-97DF-D02AB510F6CD}"/>
            </a:ext>
          </a:extLst>
        </xdr:cNvPr>
        <xdr:cNvSpPr/>
      </xdr:nvSpPr>
      <xdr:spPr>
        <a:xfrm>
          <a:off x="308162" y="5346336"/>
          <a:ext cx="609600" cy="238125"/>
        </a:xfrm>
        <a:prstGeom prst="rect">
          <a:avLst/>
        </a:prstGeom>
        <a:solidFill>
          <a:srgbClr val="FF33CC"/>
        </a:solidFill>
        <a:ln>
          <a:solidFill>
            <a:schemeClr val="accent2">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solidFill>
                <a:schemeClr val="tx1"/>
              </a:solidFill>
            </a:rPr>
            <a:t>Help</a:t>
          </a:r>
        </a:p>
      </xdr:txBody>
    </xdr:sp>
    <xdr:clientData/>
  </xdr:twoCellAnchor>
  <xdr:twoCellAnchor>
    <xdr:from>
      <xdr:col>0</xdr:col>
      <xdr:colOff>308162</xdr:colOff>
      <xdr:row>25</xdr:row>
      <xdr:rowOff>169471</xdr:rowOff>
    </xdr:from>
    <xdr:to>
      <xdr:col>1</xdr:col>
      <xdr:colOff>441511</xdr:colOff>
      <xdr:row>27</xdr:row>
      <xdr:rowOff>11831</xdr:rowOff>
    </xdr:to>
    <xdr:grpSp>
      <xdr:nvGrpSpPr>
        <xdr:cNvPr id="28" name="Group 27">
          <a:extLst>
            <a:ext uri="{FF2B5EF4-FFF2-40B4-BE49-F238E27FC236}">
              <a16:creationId xmlns:a16="http://schemas.microsoft.com/office/drawing/2014/main" id="{A9801A32-07BC-4687-861D-A2584805E7A7}"/>
            </a:ext>
          </a:extLst>
        </xdr:cNvPr>
        <xdr:cNvGrpSpPr/>
      </xdr:nvGrpSpPr>
      <xdr:grpSpPr>
        <a:xfrm>
          <a:off x="308162" y="4943177"/>
          <a:ext cx="738467" cy="223360"/>
          <a:chOff x="9190265" y="2302328"/>
          <a:chExt cx="742949" cy="238125"/>
        </a:xfrm>
      </xdr:grpSpPr>
      <xdr:sp macro="" textlink="">
        <xdr:nvSpPr>
          <xdr:cNvPr id="25" name="Rectangle 24">
            <a:extLst>
              <a:ext uri="{FF2B5EF4-FFF2-40B4-BE49-F238E27FC236}">
                <a16:creationId xmlns:a16="http://schemas.microsoft.com/office/drawing/2014/main" id="{80808F83-56E0-4423-912E-38F171E9CA5B}"/>
              </a:ext>
            </a:extLst>
          </xdr:cNvPr>
          <xdr:cNvSpPr/>
        </xdr:nvSpPr>
        <xdr:spPr>
          <a:xfrm>
            <a:off x="9190265" y="2302328"/>
            <a:ext cx="609600" cy="238125"/>
          </a:xfrm>
          <a:prstGeom prst="rect">
            <a:avLst/>
          </a:prstGeom>
          <a:solidFill>
            <a:schemeClr val="accent1">
              <a:lumMod val="60000"/>
              <a:lumOff val="40000"/>
            </a:schemeClr>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9" name="Rectangle 8">
            <a:extLst>
              <a:ext uri="{FF2B5EF4-FFF2-40B4-BE49-F238E27FC236}">
                <a16:creationId xmlns:a16="http://schemas.microsoft.com/office/drawing/2014/main" id="{65720B2D-9771-4E4E-90B5-DAFA50547FD9}"/>
              </a:ext>
            </a:extLst>
          </xdr:cNvPr>
          <xdr:cNvSpPr/>
        </xdr:nvSpPr>
        <xdr:spPr>
          <a:xfrm>
            <a:off x="9802586" y="2302329"/>
            <a:ext cx="130628" cy="114300"/>
          </a:xfrm>
          <a:prstGeom prst="rect">
            <a:avLst/>
          </a:prstGeom>
          <a:solidFill>
            <a:schemeClr val="bg1">
              <a:lumMod val="85000"/>
            </a:schemeClr>
          </a:solidFill>
          <a:ln>
            <a:solidFill>
              <a:schemeClr val="accent1"/>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AU" sz="1100"/>
          </a:p>
        </xdr:txBody>
      </xdr:sp>
      <xdr:sp macro="" textlink="">
        <xdr:nvSpPr>
          <xdr:cNvPr id="27" name="Isosceles Triangle 26">
            <a:extLst>
              <a:ext uri="{FF2B5EF4-FFF2-40B4-BE49-F238E27FC236}">
                <a16:creationId xmlns:a16="http://schemas.microsoft.com/office/drawing/2014/main" id="{E59B3CBC-9400-4F52-88F5-2E859F9E456A}"/>
              </a:ext>
            </a:extLst>
          </xdr:cNvPr>
          <xdr:cNvSpPr/>
        </xdr:nvSpPr>
        <xdr:spPr>
          <a:xfrm rot="10800000">
            <a:off x="9840686" y="2329543"/>
            <a:ext cx="45719" cy="45719"/>
          </a:xfrm>
          <a:prstGeom prst="triangl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clientData/>
  </xdr:twoCellAnchor>
  <xdr:twoCellAnchor>
    <xdr:from>
      <xdr:col>0</xdr:col>
      <xdr:colOff>308162</xdr:colOff>
      <xdr:row>23</xdr:row>
      <xdr:rowOff>128267</xdr:rowOff>
    </xdr:from>
    <xdr:to>
      <xdr:col>1</xdr:col>
      <xdr:colOff>308425</xdr:colOff>
      <xdr:row>24</xdr:row>
      <xdr:rowOff>172333</xdr:rowOff>
    </xdr:to>
    <xdr:sp macro="" textlink="">
      <xdr:nvSpPr>
        <xdr:cNvPr id="30" name="Rectangle 29">
          <a:extLst>
            <a:ext uri="{FF2B5EF4-FFF2-40B4-BE49-F238E27FC236}">
              <a16:creationId xmlns:a16="http://schemas.microsoft.com/office/drawing/2014/main" id="{A7852C46-C919-4F46-ABB0-AE9C87CE1F6D}"/>
            </a:ext>
          </a:extLst>
        </xdr:cNvPr>
        <xdr:cNvSpPr/>
      </xdr:nvSpPr>
      <xdr:spPr>
        <a:xfrm>
          <a:off x="308162" y="4519292"/>
          <a:ext cx="609863" cy="234566"/>
        </a:xfrm>
        <a:prstGeom prst="rect">
          <a:avLst/>
        </a:prstGeom>
        <a:solidFill>
          <a:schemeClr val="accent1">
            <a:lumMod val="20000"/>
            <a:lumOff val="80000"/>
          </a:schemeClr>
        </a:solidFill>
        <a:ln>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10</xdr:col>
      <xdr:colOff>523875</xdr:colOff>
      <xdr:row>1</xdr:row>
      <xdr:rowOff>180975</xdr:rowOff>
    </xdr:from>
    <xdr:to>
      <xdr:col>13</xdr:col>
      <xdr:colOff>381000</xdr:colOff>
      <xdr:row>4</xdr:row>
      <xdr:rowOff>123825</xdr:rowOff>
    </xdr:to>
    <xdr:pic>
      <xdr:nvPicPr>
        <xdr:cNvPr id="33" name="Picture 32">
          <a:extLst>
            <a:ext uri="{FF2B5EF4-FFF2-40B4-BE49-F238E27FC236}">
              <a16:creationId xmlns:a16="http://schemas.microsoft.com/office/drawing/2014/main" id="{A5C6D59B-3C96-40F1-B51F-9A64D6243BC4}"/>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6619875" y="371475"/>
          <a:ext cx="1685925" cy="51435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14</xdr:col>
      <xdr:colOff>152400</xdr:colOff>
      <xdr:row>0</xdr:row>
      <xdr:rowOff>167299</xdr:rowOff>
    </xdr:from>
    <xdr:to>
      <xdr:col>16</xdr:col>
      <xdr:colOff>1121</xdr:colOff>
      <xdr:row>4</xdr:row>
      <xdr:rowOff>163642</xdr:rowOff>
    </xdr:to>
    <xdr:pic>
      <xdr:nvPicPr>
        <xdr:cNvPr id="34" name="Picture 33" descr="GBCMA">
          <a:extLst>
            <a:ext uri="{FF2B5EF4-FFF2-40B4-BE49-F238E27FC236}">
              <a16:creationId xmlns:a16="http://schemas.microsoft.com/office/drawing/2014/main" id="{6D13DFAE-2F1F-4EE0-81DF-BD24C6D2A06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8686800" y="167299"/>
          <a:ext cx="1067921" cy="758343"/>
        </a:xfrm>
        <a:prstGeom prst="rect">
          <a:avLst/>
        </a:prstGeom>
        <a:noFill/>
        <a:ln>
          <a:noFill/>
        </a:ln>
        <a:effectLst/>
      </xdr:spPr>
    </xdr:pic>
    <xdr:clientData/>
  </xdr:twoCellAnchor>
  <xdr:twoCellAnchor editAs="oneCell">
    <xdr:from>
      <xdr:col>0</xdr:col>
      <xdr:colOff>168650</xdr:colOff>
      <xdr:row>87</xdr:row>
      <xdr:rowOff>33013</xdr:rowOff>
    </xdr:from>
    <xdr:to>
      <xdr:col>3</xdr:col>
      <xdr:colOff>235437</xdr:colOff>
      <xdr:row>90</xdr:row>
      <xdr:rowOff>126359</xdr:rowOff>
    </xdr:to>
    <xdr:pic>
      <xdr:nvPicPr>
        <xdr:cNvPr id="35" name="Picture 34">
          <a:extLst>
            <a:ext uri="{FF2B5EF4-FFF2-40B4-BE49-F238E27FC236}">
              <a16:creationId xmlns:a16="http://schemas.microsoft.com/office/drawing/2014/main" id="{C9E809DA-247F-425A-BCEE-9BB9EFF8A11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68650" y="16617719"/>
          <a:ext cx="1882140" cy="664846"/>
        </a:xfrm>
        <a:prstGeom prst="rect">
          <a:avLst/>
        </a:prstGeom>
      </xdr:spPr>
    </xdr:pic>
    <xdr:clientData/>
  </xdr:twoCellAnchor>
  <xdr:twoCellAnchor>
    <xdr:from>
      <xdr:col>3</xdr:col>
      <xdr:colOff>333374</xdr:colOff>
      <xdr:row>29</xdr:row>
      <xdr:rowOff>171448</xdr:rowOff>
    </xdr:from>
    <xdr:to>
      <xdr:col>4</xdr:col>
      <xdr:colOff>428623</xdr:colOff>
      <xdr:row>31</xdr:row>
      <xdr:rowOff>38633</xdr:rowOff>
    </xdr:to>
    <xdr:sp macro="" textlink="">
      <xdr:nvSpPr>
        <xdr:cNvPr id="20" name="Rectangle 19">
          <a:extLst>
            <a:ext uri="{FF2B5EF4-FFF2-40B4-BE49-F238E27FC236}">
              <a16:creationId xmlns:a16="http://schemas.microsoft.com/office/drawing/2014/main" id="{18135166-07BD-4103-A681-DA1618D48586}"/>
            </a:ext>
          </a:extLst>
        </xdr:cNvPr>
        <xdr:cNvSpPr/>
      </xdr:nvSpPr>
      <xdr:spPr>
        <a:xfrm>
          <a:off x="2162174" y="5705473"/>
          <a:ext cx="704849" cy="248185"/>
        </a:xfrm>
        <a:prstGeom prst="rect">
          <a:avLst/>
        </a:prstGeom>
        <a:solidFill>
          <a:schemeClr val="accent4">
            <a:lumMod val="20000"/>
            <a:lumOff val="80000"/>
          </a:schemeClr>
        </a:solidFill>
        <a:ln>
          <a:solidFill>
            <a:schemeClr val="accent2">
              <a:lumMod val="40000"/>
              <a:lumOff val="6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AU" sz="1100">
              <a:solidFill>
                <a:srgbClr val="FF0000"/>
              </a:solidFill>
            </a:rPr>
            <a:t>red text</a:t>
          </a:r>
        </a:p>
      </xdr:txBody>
    </xdr:sp>
    <xdr:clientData/>
  </xdr:twoCellAnchor>
  <xdr:twoCellAnchor editAs="oneCell">
    <xdr:from>
      <xdr:col>6</xdr:col>
      <xdr:colOff>504824</xdr:colOff>
      <xdr:row>1</xdr:row>
      <xdr:rowOff>28573</xdr:rowOff>
    </xdr:from>
    <xdr:to>
      <xdr:col>10</xdr:col>
      <xdr:colOff>390524</xdr:colOff>
      <xdr:row>5</xdr:row>
      <xdr:rowOff>98012</xdr:rowOff>
    </xdr:to>
    <xdr:pic>
      <xdr:nvPicPr>
        <xdr:cNvPr id="21" name="Picture 20">
          <a:extLst>
            <a:ext uri="{FF2B5EF4-FFF2-40B4-BE49-F238E27FC236}">
              <a16:creationId xmlns:a16="http://schemas.microsoft.com/office/drawing/2014/main" id="{3E6657F9-A494-43D2-90CB-1C638C63E493}"/>
            </a:ext>
          </a:extLst>
        </xdr:cNvPr>
        <xdr:cNvPicPr>
          <a:picLocks noChangeAspect="1"/>
        </xdr:cNvPicPr>
      </xdr:nvPicPr>
      <xdr:blipFill>
        <a:blip xmlns:r="http://schemas.openxmlformats.org/officeDocument/2006/relationships" r:embed="rId4"/>
        <a:stretch>
          <a:fillRect/>
        </a:stretch>
      </xdr:blipFill>
      <xdr:spPr>
        <a:xfrm>
          <a:off x="4162424" y="219073"/>
          <a:ext cx="2324100" cy="831439"/>
        </a:xfrm>
        <a:prstGeom prst="rect">
          <a:avLst/>
        </a:prstGeom>
      </xdr:spPr>
    </xdr:pic>
    <xdr:clientData/>
  </xdr:twoCellAnchor>
  <xdr:twoCellAnchor>
    <xdr:from>
      <xdr:col>0</xdr:col>
      <xdr:colOff>133349</xdr:colOff>
      <xdr:row>72</xdr:row>
      <xdr:rowOff>123823</xdr:rowOff>
    </xdr:from>
    <xdr:to>
      <xdr:col>5</xdr:col>
      <xdr:colOff>380999</xdr:colOff>
      <xdr:row>74</xdr:row>
      <xdr:rowOff>47623</xdr:rowOff>
    </xdr:to>
    <xdr:sp macro="" textlink="">
      <xdr:nvSpPr>
        <xdr:cNvPr id="22" name="TextBox 21">
          <a:hlinkClick xmlns:r="http://schemas.openxmlformats.org/officeDocument/2006/relationships" r:id="rId5"/>
          <a:extLst>
            <a:ext uri="{FF2B5EF4-FFF2-40B4-BE49-F238E27FC236}">
              <a16:creationId xmlns:a16="http://schemas.microsoft.com/office/drawing/2014/main" id="{AEC92942-0524-4205-B02E-3EB9D1810027}"/>
            </a:ext>
          </a:extLst>
        </xdr:cNvPr>
        <xdr:cNvSpPr txBox="1"/>
      </xdr:nvSpPr>
      <xdr:spPr>
        <a:xfrm>
          <a:off x="133349" y="13849348"/>
          <a:ext cx="3295650" cy="304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0" i="0" u="sng">
              <a:solidFill>
                <a:schemeClr val="accent5">
                  <a:lumMod val="75000"/>
                </a:schemeClr>
              </a:solidFill>
              <a:effectLst/>
              <a:latin typeface="+mn-lt"/>
              <a:ea typeface="+mn-ea"/>
              <a:cs typeface="+mn-cs"/>
            </a:rPr>
            <a:t>- Fundamentals of energy use in water pumping</a:t>
          </a:r>
          <a:endParaRPr lang="en-AU" sz="1100">
            <a:solidFill>
              <a:schemeClr val="accent5">
                <a:lumMod val="75000"/>
              </a:schemeClr>
            </a:solidFill>
          </a:endParaRPr>
        </a:p>
      </xdr:txBody>
    </xdr:sp>
    <xdr:clientData/>
  </xdr:twoCellAnchor>
  <xdr:twoCellAnchor>
    <xdr:from>
      <xdr:col>0</xdr:col>
      <xdr:colOff>135947</xdr:colOff>
      <xdr:row>73</xdr:row>
      <xdr:rowOff>181839</xdr:rowOff>
    </xdr:from>
    <xdr:to>
      <xdr:col>5</xdr:col>
      <xdr:colOff>380133</xdr:colOff>
      <xdr:row>75</xdr:row>
      <xdr:rowOff>105639</xdr:rowOff>
    </xdr:to>
    <xdr:sp macro="" textlink="">
      <xdr:nvSpPr>
        <xdr:cNvPr id="23" name="TextBox 22">
          <a:hlinkClick xmlns:r="http://schemas.openxmlformats.org/officeDocument/2006/relationships" r:id="rId6"/>
          <a:extLst>
            <a:ext uri="{FF2B5EF4-FFF2-40B4-BE49-F238E27FC236}">
              <a16:creationId xmlns:a16="http://schemas.microsoft.com/office/drawing/2014/main" id="{81621E45-B02F-4ACA-AB0C-72291490FF04}"/>
            </a:ext>
          </a:extLst>
        </xdr:cNvPr>
        <xdr:cNvSpPr txBox="1"/>
      </xdr:nvSpPr>
      <xdr:spPr>
        <a:xfrm>
          <a:off x="135947" y="14105657"/>
          <a:ext cx="3274868" cy="304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AU" sz="1100" b="0" i="0" u="sng">
              <a:solidFill>
                <a:schemeClr val="accent5">
                  <a:lumMod val="75000"/>
                </a:schemeClr>
              </a:solidFill>
              <a:effectLst/>
              <a:latin typeface="+mn-lt"/>
              <a:ea typeface="+mn-ea"/>
              <a:cs typeface="+mn-cs"/>
            </a:rPr>
            <a:t>- Energy use efficiency</a:t>
          </a:r>
          <a:endParaRPr lang="en-AU">
            <a:solidFill>
              <a:schemeClr val="accent5">
                <a:lumMod val="75000"/>
              </a:schemeClr>
            </a:solidFill>
            <a:effectLst/>
          </a:endParaRPr>
        </a:p>
      </xdr:txBody>
    </xdr:sp>
    <xdr:clientData/>
  </xdr:twoCellAnchor>
  <xdr:twoCellAnchor>
    <xdr:from>
      <xdr:col>0</xdr:col>
      <xdr:colOff>138595</xdr:colOff>
      <xdr:row>75</xdr:row>
      <xdr:rowOff>65195</xdr:rowOff>
    </xdr:from>
    <xdr:to>
      <xdr:col>5</xdr:col>
      <xdr:colOff>382781</xdr:colOff>
      <xdr:row>76</xdr:row>
      <xdr:rowOff>179495</xdr:rowOff>
    </xdr:to>
    <xdr:sp macro="" textlink="">
      <xdr:nvSpPr>
        <xdr:cNvPr id="24" name="TextBox 23">
          <a:hlinkClick xmlns:r="http://schemas.openxmlformats.org/officeDocument/2006/relationships" r:id="rId7"/>
          <a:extLst>
            <a:ext uri="{FF2B5EF4-FFF2-40B4-BE49-F238E27FC236}">
              <a16:creationId xmlns:a16="http://schemas.microsoft.com/office/drawing/2014/main" id="{DD1E760E-ADCF-49C7-BFF7-7F40ABDB19DF}"/>
            </a:ext>
          </a:extLst>
        </xdr:cNvPr>
        <xdr:cNvSpPr txBox="1"/>
      </xdr:nvSpPr>
      <xdr:spPr>
        <a:xfrm>
          <a:off x="138595" y="14363901"/>
          <a:ext cx="3269774" cy="304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u="sng">
              <a:solidFill>
                <a:schemeClr val="accent5">
                  <a:lumMod val="75000"/>
                </a:schemeClr>
              </a:solidFill>
              <a:effectLst/>
              <a:latin typeface="+mn-lt"/>
              <a:ea typeface="+mn-ea"/>
              <a:cs typeface="+mn-cs"/>
            </a:rPr>
            <a:t>- Reading your meter</a:t>
          </a:r>
          <a:endParaRPr lang="en-AU">
            <a:solidFill>
              <a:schemeClr val="accent5">
                <a:lumMod val="75000"/>
              </a:schemeClr>
            </a:solidFill>
            <a:effectLst/>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180974</xdr:colOff>
      <xdr:row>40</xdr:row>
      <xdr:rowOff>19051</xdr:rowOff>
    </xdr:from>
    <xdr:to>
      <xdr:col>6</xdr:col>
      <xdr:colOff>447675</xdr:colOff>
      <xdr:row>73</xdr:row>
      <xdr:rowOff>19051</xdr:rowOff>
    </xdr:to>
    <xdr:graphicFrame macro="">
      <xdr:nvGraphicFramePr>
        <xdr:cNvPr id="4" name="Chart 3">
          <a:extLst>
            <a:ext uri="{FF2B5EF4-FFF2-40B4-BE49-F238E27FC236}">
              <a16:creationId xmlns:a16="http://schemas.microsoft.com/office/drawing/2014/main" id="{53D31C1C-BC17-428A-8F6E-02B2CA689F9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xdr:col>
      <xdr:colOff>292598</xdr:colOff>
      <xdr:row>13</xdr:row>
      <xdr:rowOff>152523</xdr:rowOff>
    </xdr:from>
    <xdr:to>
      <xdr:col>14</xdr:col>
      <xdr:colOff>485775</xdr:colOff>
      <xdr:row>24</xdr:row>
      <xdr:rowOff>66674</xdr:rowOff>
    </xdr:to>
    <xdr:graphicFrame macro="">
      <xdr:nvGraphicFramePr>
        <xdr:cNvPr id="63" name="Chart 7">
          <a:extLst>
            <a:ext uri="{FF2B5EF4-FFF2-40B4-BE49-F238E27FC236}">
              <a16:creationId xmlns:a16="http://schemas.microsoft.com/office/drawing/2014/main" id="{657E66A3-0521-477E-95AC-74B31B70CD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24</xdr:row>
      <xdr:rowOff>123825</xdr:rowOff>
    </xdr:from>
    <xdr:to>
      <xdr:col>14</xdr:col>
      <xdr:colOff>497898</xdr:colOff>
      <xdr:row>45</xdr:row>
      <xdr:rowOff>104775</xdr:rowOff>
    </xdr:to>
    <xdr:graphicFrame macro="">
      <xdr:nvGraphicFramePr>
        <xdr:cNvPr id="22" name="Chart 4">
          <a:extLst>
            <a:ext uri="{FF2B5EF4-FFF2-40B4-BE49-F238E27FC236}">
              <a16:creationId xmlns:a16="http://schemas.microsoft.com/office/drawing/2014/main" id="{748840AC-C011-49C0-8F86-798CF74DD7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28</xdr:row>
      <xdr:rowOff>13881</xdr:rowOff>
    </xdr:from>
    <xdr:to>
      <xdr:col>5</xdr:col>
      <xdr:colOff>60324</xdr:colOff>
      <xdr:row>42</xdr:row>
      <xdr:rowOff>171450</xdr:rowOff>
    </xdr:to>
    <xdr:graphicFrame macro="">
      <xdr:nvGraphicFramePr>
        <xdr:cNvPr id="17" name="Chart 16">
          <a:extLst>
            <a:ext uri="{FF2B5EF4-FFF2-40B4-BE49-F238E27FC236}">
              <a16:creationId xmlns:a16="http://schemas.microsoft.com/office/drawing/2014/main" id="{78DA6E25-CBF5-4AA3-BCE3-A8C6078EBC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36</xdr:col>
      <xdr:colOff>719564</xdr:colOff>
      <xdr:row>21</xdr:row>
      <xdr:rowOff>131281</xdr:rowOff>
    </xdr:from>
    <xdr:to>
      <xdr:col>42</xdr:col>
      <xdr:colOff>153051</xdr:colOff>
      <xdr:row>35</xdr:row>
      <xdr:rowOff>144633</xdr:rowOff>
    </xdr:to>
    <xdr:graphicFrame macro="">
      <xdr:nvGraphicFramePr>
        <xdr:cNvPr id="16" name="Chart 15">
          <a:extLst>
            <a:ext uri="{FF2B5EF4-FFF2-40B4-BE49-F238E27FC236}">
              <a16:creationId xmlns:a16="http://schemas.microsoft.com/office/drawing/2014/main" id="{61FC2B85-F16D-497E-987F-EC4CD5648D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55</xdr:col>
      <xdr:colOff>2464</xdr:colOff>
      <xdr:row>34</xdr:row>
      <xdr:rowOff>60926</xdr:rowOff>
    </xdr:from>
    <xdr:to>
      <xdr:col>58</xdr:col>
      <xdr:colOff>445534</xdr:colOff>
      <xdr:row>41</xdr:row>
      <xdr:rowOff>107773</xdr:rowOff>
    </xdr:to>
    <xdr:graphicFrame macro="">
      <xdr:nvGraphicFramePr>
        <xdr:cNvPr id="44" name="Chart 37">
          <a:extLst>
            <a:ext uri="{FF2B5EF4-FFF2-40B4-BE49-F238E27FC236}">
              <a16:creationId xmlns:a16="http://schemas.microsoft.com/office/drawing/2014/main" id="{B518CF9F-A2F0-47A9-A0EF-6EF9EA8C42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51</xdr:col>
      <xdr:colOff>501229</xdr:colOff>
      <xdr:row>34</xdr:row>
      <xdr:rowOff>3467</xdr:rowOff>
    </xdr:from>
    <xdr:to>
      <xdr:col>54</xdr:col>
      <xdr:colOff>563300</xdr:colOff>
      <xdr:row>41</xdr:row>
      <xdr:rowOff>24777</xdr:rowOff>
    </xdr:to>
    <xdr:graphicFrame macro="">
      <xdr:nvGraphicFramePr>
        <xdr:cNvPr id="40" name="Chart 37">
          <a:extLst>
            <a:ext uri="{FF2B5EF4-FFF2-40B4-BE49-F238E27FC236}">
              <a16:creationId xmlns:a16="http://schemas.microsoft.com/office/drawing/2014/main" id="{459CE85E-886F-455F-8FB7-66F1C10720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17985</xdr:colOff>
      <xdr:row>4</xdr:row>
      <xdr:rowOff>137583</xdr:rowOff>
    </xdr:from>
    <xdr:to>
      <xdr:col>24</xdr:col>
      <xdr:colOff>415636</xdr:colOff>
      <xdr:row>34</xdr:row>
      <xdr:rowOff>103909</xdr:rowOff>
    </xdr:to>
    <xdr:grpSp>
      <xdr:nvGrpSpPr>
        <xdr:cNvPr id="15" name="Group 14">
          <a:extLst>
            <a:ext uri="{FF2B5EF4-FFF2-40B4-BE49-F238E27FC236}">
              <a16:creationId xmlns:a16="http://schemas.microsoft.com/office/drawing/2014/main" id="{8FB368EC-BE8E-4E72-BC5B-DE00C52265E7}"/>
            </a:ext>
          </a:extLst>
        </xdr:cNvPr>
        <xdr:cNvGrpSpPr/>
      </xdr:nvGrpSpPr>
      <xdr:grpSpPr>
        <a:xfrm>
          <a:off x="3316016" y="601927"/>
          <a:ext cx="10386995" cy="5848013"/>
          <a:chOff x="3325758" y="605174"/>
          <a:chExt cx="10372923" cy="5854508"/>
        </a:xfrm>
      </xdr:grpSpPr>
      <xdr:grpSp>
        <xdr:nvGrpSpPr>
          <xdr:cNvPr id="2" name="Group 1">
            <a:extLst>
              <a:ext uri="{FF2B5EF4-FFF2-40B4-BE49-F238E27FC236}">
                <a16:creationId xmlns:a16="http://schemas.microsoft.com/office/drawing/2014/main" id="{839434A8-A4F0-43FF-9E3C-BEE2352FE2F8}"/>
              </a:ext>
            </a:extLst>
          </xdr:cNvPr>
          <xdr:cNvGrpSpPr/>
        </xdr:nvGrpSpPr>
        <xdr:grpSpPr>
          <a:xfrm>
            <a:off x="4377472" y="1790516"/>
            <a:ext cx="6883787" cy="2015131"/>
            <a:chOff x="1066799" y="879124"/>
            <a:chExt cx="8314269" cy="1967590"/>
          </a:xfrm>
        </xdr:grpSpPr>
        <xdr:sp macro="" textlink="">
          <xdr:nvSpPr>
            <xdr:cNvPr id="3" name="Freeform: Shape 2">
              <a:extLst>
                <a:ext uri="{FF2B5EF4-FFF2-40B4-BE49-F238E27FC236}">
                  <a16:creationId xmlns:a16="http://schemas.microsoft.com/office/drawing/2014/main" id="{469C2B1A-54DB-467A-9684-B61FCE582C98}"/>
                </a:ext>
              </a:extLst>
            </xdr:cNvPr>
            <xdr:cNvSpPr/>
          </xdr:nvSpPr>
          <xdr:spPr>
            <a:xfrm>
              <a:off x="1066799" y="879124"/>
              <a:ext cx="8314269" cy="1967590"/>
            </a:xfrm>
            <a:custGeom>
              <a:avLst/>
              <a:gdLst>
                <a:gd name="connsiteX0" fmla="*/ 211667 w 6993467"/>
                <a:gd name="connsiteY0" fmla="*/ 1659467 h 2010833"/>
                <a:gd name="connsiteX1" fmla="*/ 867833 w 6993467"/>
                <a:gd name="connsiteY1" fmla="*/ 1663700 h 2010833"/>
                <a:gd name="connsiteX2" fmla="*/ 1138767 w 6993467"/>
                <a:gd name="connsiteY2" fmla="*/ 1062567 h 2010833"/>
                <a:gd name="connsiteX3" fmla="*/ 2142067 w 6993467"/>
                <a:gd name="connsiteY3" fmla="*/ 1066800 h 2010833"/>
                <a:gd name="connsiteX4" fmla="*/ 6993467 w 6993467"/>
                <a:gd name="connsiteY4" fmla="*/ 0 h 2010833"/>
                <a:gd name="connsiteX5" fmla="*/ 6993467 w 6993467"/>
                <a:gd name="connsiteY5" fmla="*/ 2010833 h 2010833"/>
                <a:gd name="connsiteX6" fmla="*/ 59267 w 6993467"/>
                <a:gd name="connsiteY6" fmla="*/ 2010833 h 2010833"/>
                <a:gd name="connsiteX7" fmla="*/ 0 w 6993467"/>
                <a:gd name="connsiteY7" fmla="*/ 1066800 h 2010833"/>
                <a:gd name="connsiteX8" fmla="*/ 114300 w 6993467"/>
                <a:gd name="connsiteY8" fmla="*/ 1066800 h 2010833"/>
                <a:gd name="connsiteX9" fmla="*/ 211667 w 6993467"/>
                <a:gd name="connsiteY9" fmla="*/ 1659467 h 2010833"/>
                <a:gd name="connsiteX0" fmla="*/ 211667 w 6993467"/>
                <a:gd name="connsiteY0" fmla="*/ 1659467 h 2010833"/>
                <a:gd name="connsiteX1" fmla="*/ 867833 w 6993467"/>
                <a:gd name="connsiteY1" fmla="*/ 1663700 h 2010833"/>
                <a:gd name="connsiteX2" fmla="*/ 1138767 w 6993467"/>
                <a:gd name="connsiteY2" fmla="*/ 1062567 h 2010833"/>
                <a:gd name="connsiteX3" fmla="*/ 2142067 w 6993467"/>
                <a:gd name="connsiteY3" fmla="*/ 1066800 h 2010833"/>
                <a:gd name="connsiteX4" fmla="*/ 6993467 w 6993467"/>
                <a:gd name="connsiteY4" fmla="*/ 0 h 2010833"/>
                <a:gd name="connsiteX5" fmla="*/ 6993467 w 6993467"/>
                <a:gd name="connsiteY5" fmla="*/ 1050787 h 2010833"/>
                <a:gd name="connsiteX6" fmla="*/ 59267 w 6993467"/>
                <a:gd name="connsiteY6" fmla="*/ 2010833 h 2010833"/>
                <a:gd name="connsiteX7" fmla="*/ 0 w 6993467"/>
                <a:gd name="connsiteY7" fmla="*/ 1066800 h 2010833"/>
                <a:gd name="connsiteX8" fmla="*/ 114300 w 6993467"/>
                <a:gd name="connsiteY8" fmla="*/ 1066800 h 2010833"/>
                <a:gd name="connsiteX9" fmla="*/ 211667 w 6993467"/>
                <a:gd name="connsiteY9" fmla="*/ 1659467 h 2010833"/>
                <a:gd name="connsiteX0" fmla="*/ 211667 w 6993467"/>
                <a:gd name="connsiteY0" fmla="*/ 1659467 h 2010833"/>
                <a:gd name="connsiteX1" fmla="*/ 867833 w 6993467"/>
                <a:gd name="connsiteY1" fmla="*/ 1663700 h 2010833"/>
                <a:gd name="connsiteX2" fmla="*/ 1138767 w 6993467"/>
                <a:gd name="connsiteY2" fmla="*/ 1062567 h 2010833"/>
                <a:gd name="connsiteX3" fmla="*/ 2142067 w 6993467"/>
                <a:gd name="connsiteY3" fmla="*/ 1066800 h 2010833"/>
                <a:gd name="connsiteX4" fmla="*/ 6993467 w 6993467"/>
                <a:gd name="connsiteY4" fmla="*/ 0 h 2010833"/>
                <a:gd name="connsiteX5" fmla="*/ 6993467 w 6993467"/>
                <a:gd name="connsiteY5" fmla="*/ 1050787 h 2010833"/>
                <a:gd name="connsiteX6" fmla="*/ 4150038 w 6993467"/>
                <a:gd name="connsiteY6" fmla="*/ 1417111 h 2010833"/>
                <a:gd name="connsiteX7" fmla="*/ 59267 w 6993467"/>
                <a:gd name="connsiteY7" fmla="*/ 2010833 h 2010833"/>
                <a:gd name="connsiteX8" fmla="*/ 0 w 6993467"/>
                <a:gd name="connsiteY8" fmla="*/ 1066800 h 2010833"/>
                <a:gd name="connsiteX9" fmla="*/ 114300 w 6993467"/>
                <a:gd name="connsiteY9" fmla="*/ 1066800 h 2010833"/>
                <a:gd name="connsiteX10" fmla="*/ 211667 w 6993467"/>
                <a:gd name="connsiteY10" fmla="*/ 1659467 h 2010833"/>
                <a:gd name="connsiteX0" fmla="*/ 211667 w 6993467"/>
                <a:gd name="connsiteY0" fmla="*/ 1659467 h 2010833"/>
                <a:gd name="connsiteX1" fmla="*/ 867833 w 6993467"/>
                <a:gd name="connsiteY1" fmla="*/ 1663700 h 2010833"/>
                <a:gd name="connsiteX2" fmla="*/ 1138767 w 6993467"/>
                <a:gd name="connsiteY2" fmla="*/ 1062567 h 2010833"/>
                <a:gd name="connsiteX3" fmla="*/ 2142067 w 6993467"/>
                <a:gd name="connsiteY3" fmla="*/ 1066800 h 2010833"/>
                <a:gd name="connsiteX4" fmla="*/ 6993467 w 6993467"/>
                <a:gd name="connsiteY4" fmla="*/ 0 h 2010833"/>
                <a:gd name="connsiteX5" fmla="*/ 6993467 w 6993467"/>
                <a:gd name="connsiteY5" fmla="*/ 1050787 h 2010833"/>
                <a:gd name="connsiteX6" fmla="*/ 2503414 w 6993467"/>
                <a:gd name="connsiteY6" fmla="*/ 1795591 h 2010833"/>
                <a:gd name="connsiteX7" fmla="*/ 59267 w 6993467"/>
                <a:gd name="connsiteY7" fmla="*/ 2010833 h 2010833"/>
                <a:gd name="connsiteX8" fmla="*/ 0 w 6993467"/>
                <a:gd name="connsiteY8" fmla="*/ 1066800 h 2010833"/>
                <a:gd name="connsiteX9" fmla="*/ 114300 w 6993467"/>
                <a:gd name="connsiteY9" fmla="*/ 1066800 h 2010833"/>
                <a:gd name="connsiteX10" fmla="*/ 211667 w 6993467"/>
                <a:gd name="connsiteY10" fmla="*/ 1659467 h 2010833"/>
                <a:gd name="connsiteX0" fmla="*/ 211667 w 6993467"/>
                <a:gd name="connsiteY0" fmla="*/ 1659467 h 1807747"/>
                <a:gd name="connsiteX1" fmla="*/ 867833 w 6993467"/>
                <a:gd name="connsiteY1" fmla="*/ 1663700 h 1807747"/>
                <a:gd name="connsiteX2" fmla="*/ 1138767 w 6993467"/>
                <a:gd name="connsiteY2" fmla="*/ 1062567 h 1807747"/>
                <a:gd name="connsiteX3" fmla="*/ 2142067 w 6993467"/>
                <a:gd name="connsiteY3" fmla="*/ 1066800 h 1807747"/>
                <a:gd name="connsiteX4" fmla="*/ 6993467 w 6993467"/>
                <a:gd name="connsiteY4" fmla="*/ 0 h 1807747"/>
                <a:gd name="connsiteX5" fmla="*/ 6993467 w 6993467"/>
                <a:gd name="connsiteY5" fmla="*/ 1050787 h 1807747"/>
                <a:gd name="connsiteX6" fmla="*/ 2503414 w 6993467"/>
                <a:gd name="connsiteY6" fmla="*/ 1795591 h 1807747"/>
                <a:gd name="connsiteX7" fmla="*/ 76785 w 6993467"/>
                <a:gd name="connsiteY7" fmla="*/ 1807747 h 1807747"/>
                <a:gd name="connsiteX8" fmla="*/ 0 w 6993467"/>
                <a:gd name="connsiteY8" fmla="*/ 1066800 h 1807747"/>
                <a:gd name="connsiteX9" fmla="*/ 114300 w 6993467"/>
                <a:gd name="connsiteY9" fmla="*/ 1066800 h 1807747"/>
                <a:gd name="connsiteX10" fmla="*/ 211667 w 6993467"/>
                <a:gd name="connsiteY10" fmla="*/ 1659467 h 1807747"/>
                <a:gd name="connsiteX0" fmla="*/ 211667 w 6993467"/>
                <a:gd name="connsiteY0" fmla="*/ 1659467 h 1807747"/>
                <a:gd name="connsiteX1" fmla="*/ 867833 w 6993467"/>
                <a:gd name="connsiteY1" fmla="*/ 1663700 h 1807747"/>
                <a:gd name="connsiteX2" fmla="*/ 1138767 w 6993467"/>
                <a:gd name="connsiteY2" fmla="*/ 1062567 h 1807747"/>
                <a:gd name="connsiteX3" fmla="*/ 2142067 w 6993467"/>
                <a:gd name="connsiteY3" fmla="*/ 1066800 h 1807747"/>
                <a:gd name="connsiteX4" fmla="*/ 6993467 w 6993467"/>
                <a:gd name="connsiteY4" fmla="*/ 0 h 1807747"/>
                <a:gd name="connsiteX5" fmla="*/ 6993467 w 6993467"/>
                <a:gd name="connsiteY5" fmla="*/ 1050787 h 1807747"/>
                <a:gd name="connsiteX6" fmla="*/ 1504929 w 6993467"/>
                <a:gd name="connsiteY6" fmla="*/ 1786360 h 1807747"/>
                <a:gd name="connsiteX7" fmla="*/ 76785 w 6993467"/>
                <a:gd name="connsiteY7" fmla="*/ 1807747 h 1807747"/>
                <a:gd name="connsiteX8" fmla="*/ 0 w 6993467"/>
                <a:gd name="connsiteY8" fmla="*/ 1066800 h 1807747"/>
                <a:gd name="connsiteX9" fmla="*/ 114300 w 6993467"/>
                <a:gd name="connsiteY9" fmla="*/ 1066800 h 1807747"/>
                <a:gd name="connsiteX10" fmla="*/ 211667 w 6993467"/>
                <a:gd name="connsiteY10" fmla="*/ 1659467 h 1807747"/>
                <a:gd name="connsiteX0" fmla="*/ 211667 w 6993467"/>
                <a:gd name="connsiteY0" fmla="*/ 1659467 h 1807747"/>
                <a:gd name="connsiteX1" fmla="*/ 867833 w 6993467"/>
                <a:gd name="connsiteY1" fmla="*/ 1663700 h 1807747"/>
                <a:gd name="connsiteX2" fmla="*/ 1138767 w 6993467"/>
                <a:gd name="connsiteY2" fmla="*/ 1062567 h 1807747"/>
                <a:gd name="connsiteX3" fmla="*/ 2142067 w 6993467"/>
                <a:gd name="connsiteY3" fmla="*/ 1066800 h 1807747"/>
                <a:gd name="connsiteX4" fmla="*/ 6993467 w 6993467"/>
                <a:gd name="connsiteY4" fmla="*/ 0 h 1807747"/>
                <a:gd name="connsiteX5" fmla="*/ 6984708 w 6993467"/>
                <a:gd name="connsiteY5" fmla="*/ 672308 h 1807747"/>
                <a:gd name="connsiteX6" fmla="*/ 1504929 w 6993467"/>
                <a:gd name="connsiteY6" fmla="*/ 1786360 h 1807747"/>
                <a:gd name="connsiteX7" fmla="*/ 76785 w 6993467"/>
                <a:gd name="connsiteY7" fmla="*/ 1807747 h 1807747"/>
                <a:gd name="connsiteX8" fmla="*/ 0 w 6993467"/>
                <a:gd name="connsiteY8" fmla="*/ 1066800 h 1807747"/>
                <a:gd name="connsiteX9" fmla="*/ 114300 w 6993467"/>
                <a:gd name="connsiteY9" fmla="*/ 1066800 h 1807747"/>
                <a:gd name="connsiteX10" fmla="*/ 211667 w 6993467"/>
                <a:gd name="connsiteY10" fmla="*/ 1659467 h 1807747"/>
                <a:gd name="connsiteX0" fmla="*/ 211667 w 6993467"/>
                <a:gd name="connsiteY0" fmla="*/ 1659467 h 1807747"/>
                <a:gd name="connsiteX1" fmla="*/ 867833 w 6993467"/>
                <a:gd name="connsiteY1" fmla="*/ 1663700 h 1807747"/>
                <a:gd name="connsiteX2" fmla="*/ 1138767 w 6993467"/>
                <a:gd name="connsiteY2" fmla="*/ 1062567 h 1807747"/>
                <a:gd name="connsiteX3" fmla="*/ 2142067 w 6993467"/>
                <a:gd name="connsiteY3" fmla="*/ 1066800 h 1807747"/>
                <a:gd name="connsiteX4" fmla="*/ 6993467 w 6993467"/>
                <a:gd name="connsiteY4" fmla="*/ 0 h 1807747"/>
                <a:gd name="connsiteX5" fmla="*/ 6984708 w 6993467"/>
                <a:gd name="connsiteY5" fmla="*/ 672308 h 1807747"/>
                <a:gd name="connsiteX6" fmla="*/ 3528174 w 6993467"/>
                <a:gd name="connsiteY6" fmla="*/ 1380187 h 1807747"/>
                <a:gd name="connsiteX7" fmla="*/ 1504929 w 6993467"/>
                <a:gd name="connsiteY7" fmla="*/ 1786360 h 1807747"/>
                <a:gd name="connsiteX8" fmla="*/ 76785 w 6993467"/>
                <a:gd name="connsiteY8" fmla="*/ 1807747 h 1807747"/>
                <a:gd name="connsiteX9" fmla="*/ 0 w 6993467"/>
                <a:gd name="connsiteY9" fmla="*/ 1066800 h 1807747"/>
                <a:gd name="connsiteX10" fmla="*/ 114300 w 6993467"/>
                <a:gd name="connsiteY10" fmla="*/ 1066800 h 1807747"/>
                <a:gd name="connsiteX11" fmla="*/ 211667 w 6993467"/>
                <a:gd name="connsiteY11" fmla="*/ 1659467 h 1807747"/>
                <a:gd name="connsiteX0" fmla="*/ 211667 w 6993467"/>
                <a:gd name="connsiteY0" fmla="*/ 1659467 h 1807747"/>
                <a:gd name="connsiteX1" fmla="*/ 867833 w 6993467"/>
                <a:gd name="connsiteY1" fmla="*/ 1663700 h 1807747"/>
                <a:gd name="connsiteX2" fmla="*/ 1138767 w 6993467"/>
                <a:gd name="connsiteY2" fmla="*/ 1062567 h 1807747"/>
                <a:gd name="connsiteX3" fmla="*/ 2142067 w 6993467"/>
                <a:gd name="connsiteY3" fmla="*/ 1066800 h 1807747"/>
                <a:gd name="connsiteX4" fmla="*/ 6993467 w 6993467"/>
                <a:gd name="connsiteY4" fmla="*/ 0 h 1807747"/>
                <a:gd name="connsiteX5" fmla="*/ 6984708 w 6993467"/>
                <a:gd name="connsiteY5" fmla="*/ 672308 h 1807747"/>
                <a:gd name="connsiteX6" fmla="*/ 2626034 w 6993467"/>
                <a:gd name="connsiteY6" fmla="*/ 1574043 h 1807747"/>
                <a:gd name="connsiteX7" fmla="*/ 1504929 w 6993467"/>
                <a:gd name="connsiteY7" fmla="*/ 1786360 h 1807747"/>
                <a:gd name="connsiteX8" fmla="*/ 76785 w 6993467"/>
                <a:gd name="connsiteY8" fmla="*/ 1807747 h 1807747"/>
                <a:gd name="connsiteX9" fmla="*/ 0 w 6993467"/>
                <a:gd name="connsiteY9" fmla="*/ 1066800 h 1807747"/>
                <a:gd name="connsiteX10" fmla="*/ 114300 w 6993467"/>
                <a:gd name="connsiteY10" fmla="*/ 1066800 h 1807747"/>
                <a:gd name="connsiteX11" fmla="*/ 211667 w 6993467"/>
                <a:gd name="connsiteY11" fmla="*/ 1659467 h 1807747"/>
                <a:gd name="connsiteX0" fmla="*/ 211667 w 6993467"/>
                <a:gd name="connsiteY0" fmla="*/ 1659467 h 1807747"/>
                <a:gd name="connsiteX1" fmla="*/ 867833 w 6993467"/>
                <a:gd name="connsiteY1" fmla="*/ 1663700 h 1807747"/>
                <a:gd name="connsiteX2" fmla="*/ 1138767 w 6993467"/>
                <a:gd name="connsiteY2" fmla="*/ 1062567 h 1807747"/>
                <a:gd name="connsiteX3" fmla="*/ 2142067 w 6993467"/>
                <a:gd name="connsiteY3" fmla="*/ 1066800 h 1807747"/>
                <a:gd name="connsiteX4" fmla="*/ 6993467 w 6993467"/>
                <a:gd name="connsiteY4" fmla="*/ 0 h 1807747"/>
                <a:gd name="connsiteX5" fmla="*/ 6975950 w 6993467"/>
                <a:gd name="connsiteY5" fmla="*/ 1420037 h 1807747"/>
                <a:gd name="connsiteX6" fmla="*/ 2626034 w 6993467"/>
                <a:gd name="connsiteY6" fmla="*/ 1574043 h 1807747"/>
                <a:gd name="connsiteX7" fmla="*/ 1504929 w 6993467"/>
                <a:gd name="connsiteY7" fmla="*/ 1786360 h 1807747"/>
                <a:gd name="connsiteX8" fmla="*/ 76785 w 6993467"/>
                <a:gd name="connsiteY8" fmla="*/ 1807747 h 1807747"/>
                <a:gd name="connsiteX9" fmla="*/ 0 w 6993467"/>
                <a:gd name="connsiteY9" fmla="*/ 1066800 h 1807747"/>
                <a:gd name="connsiteX10" fmla="*/ 114300 w 6993467"/>
                <a:gd name="connsiteY10" fmla="*/ 1066800 h 1807747"/>
                <a:gd name="connsiteX11" fmla="*/ 211667 w 6993467"/>
                <a:gd name="connsiteY11" fmla="*/ 1659467 h 1807747"/>
                <a:gd name="connsiteX0" fmla="*/ 211667 w 6993467"/>
                <a:gd name="connsiteY0" fmla="*/ 1659467 h 1807747"/>
                <a:gd name="connsiteX1" fmla="*/ 867833 w 6993467"/>
                <a:gd name="connsiteY1" fmla="*/ 1663700 h 1807747"/>
                <a:gd name="connsiteX2" fmla="*/ 1138767 w 6993467"/>
                <a:gd name="connsiteY2" fmla="*/ 1062567 h 1807747"/>
                <a:gd name="connsiteX3" fmla="*/ 2142067 w 6993467"/>
                <a:gd name="connsiteY3" fmla="*/ 1066800 h 1807747"/>
                <a:gd name="connsiteX4" fmla="*/ 6993467 w 6993467"/>
                <a:gd name="connsiteY4" fmla="*/ 0 h 1807747"/>
                <a:gd name="connsiteX5" fmla="*/ 6975950 w 6993467"/>
                <a:gd name="connsiteY5" fmla="*/ 1420037 h 1807747"/>
                <a:gd name="connsiteX6" fmla="*/ 2599759 w 6993467"/>
                <a:gd name="connsiteY6" fmla="*/ 1463268 h 1807747"/>
                <a:gd name="connsiteX7" fmla="*/ 1504929 w 6993467"/>
                <a:gd name="connsiteY7" fmla="*/ 1786360 h 1807747"/>
                <a:gd name="connsiteX8" fmla="*/ 76785 w 6993467"/>
                <a:gd name="connsiteY8" fmla="*/ 1807747 h 1807747"/>
                <a:gd name="connsiteX9" fmla="*/ 0 w 6993467"/>
                <a:gd name="connsiteY9" fmla="*/ 1066800 h 1807747"/>
                <a:gd name="connsiteX10" fmla="*/ 114300 w 6993467"/>
                <a:gd name="connsiteY10" fmla="*/ 1066800 h 1807747"/>
                <a:gd name="connsiteX11" fmla="*/ 211667 w 6993467"/>
                <a:gd name="connsiteY11" fmla="*/ 1659467 h 1807747"/>
                <a:gd name="connsiteX0" fmla="*/ 211667 w 6993467"/>
                <a:gd name="connsiteY0" fmla="*/ 1659467 h 1814054"/>
                <a:gd name="connsiteX1" fmla="*/ 867833 w 6993467"/>
                <a:gd name="connsiteY1" fmla="*/ 1663700 h 1814054"/>
                <a:gd name="connsiteX2" fmla="*/ 1138767 w 6993467"/>
                <a:gd name="connsiteY2" fmla="*/ 1062567 h 1814054"/>
                <a:gd name="connsiteX3" fmla="*/ 2142067 w 6993467"/>
                <a:gd name="connsiteY3" fmla="*/ 1066800 h 1814054"/>
                <a:gd name="connsiteX4" fmla="*/ 6993467 w 6993467"/>
                <a:gd name="connsiteY4" fmla="*/ 0 h 1814054"/>
                <a:gd name="connsiteX5" fmla="*/ 6975950 w 6993467"/>
                <a:gd name="connsiteY5" fmla="*/ 1420037 h 1814054"/>
                <a:gd name="connsiteX6" fmla="*/ 2599759 w 6993467"/>
                <a:gd name="connsiteY6" fmla="*/ 1463268 h 1814054"/>
                <a:gd name="connsiteX7" fmla="*/ 1084514 w 6993467"/>
                <a:gd name="connsiteY7" fmla="*/ 1814054 h 1814054"/>
                <a:gd name="connsiteX8" fmla="*/ 76785 w 6993467"/>
                <a:gd name="connsiteY8" fmla="*/ 1807747 h 1814054"/>
                <a:gd name="connsiteX9" fmla="*/ 0 w 6993467"/>
                <a:gd name="connsiteY9" fmla="*/ 1066800 h 1814054"/>
                <a:gd name="connsiteX10" fmla="*/ 114300 w 6993467"/>
                <a:gd name="connsiteY10" fmla="*/ 1066800 h 1814054"/>
                <a:gd name="connsiteX11" fmla="*/ 211667 w 6993467"/>
                <a:gd name="connsiteY11" fmla="*/ 1659467 h 1814054"/>
                <a:gd name="connsiteX0" fmla="*/ 211667 w 6993467"/>
                <a:gd name="connsiteY0" fmla="*/ 1659467 h 1814054"/>
                <a:gd name="connsiteX1" fmla="*/ 867833 w 6993467"/>
                <a:gd name="connsiteY1" fmla="*/ 1663700 h 1814054"/>
                <a:gd name="connsiteX2" fmla="*/ 1138767 w 6993467"/>
                <a:gd name="connsiteY2" fmla="*/ 1062567 h 1814054"/>
                <a:gd name="connsiteX3" fmla="*/ 2142067 w 6993467"/>
                <a:gd name="connsiteY3" fmla="*/ 1066800 h 1814054"/>
                <a:gd name="connsiteX4" fmla="*/ 6993467 w 6993467"/>
                <a:gd name="connsiteY4" fmla="*/ 0 h 1814054"/>
                <a:gd name="connsiteX5" fmla="*/ 6975950 w 6993467"/>
                <a:gd name="connsiteY5" fmla="*/ 1420037 h 1814054"/>
                <a:gd name="connsiteX6" fmla="*/ 1277204 w 6993467"/>
                <a:gd name="connsiteY6" fmla="*/ 1444806 h 1814054"/>
                <a:gd name="connsiteX7" fmla="*/ 1084514 w 6993467"/>
                <a:gd name="connsiteY7" fmla="*/ 1814054 h 1814054"/>
                <a:gd name="connsiteX8" fmla="*/ 76785 w 6993467"/>
                <a:gd name="connsiteY8" fmla="*/ 1807747 h 1814054"/>
                <a:gd name="connsiteX9" fmla="*/ 0 w 6993467"/>
                <a:gd name="connsiteY9" fmla="*/ 1066800 h 1814054"/>
                <a:gd name="connsiteX10" fmla="*/ 114300 w 6993467"/>
                <a:gd name="connsiteY10" fmla="*/ 1066800 h 1814054"/>
                <a:gd name="connsiteX11" fmla="*/ 211667 w 6993467"/>
                <a:gd name="connsiteY11" fmla="*/ 1659467 h 1814054"/>
                <a:gd name="connsiteX0" fmla="*/ 211667 w 6993467"/>
                <a:gd name="connsiteY0" fmla="*/ 1659467 h 1814054"/>
                <a:gd name="connsiteX1" fmla="*/ 867833 w 6993467"/>
                <a:gd name="connsiteY1" fmla="*/ 1663700 h 1814054"/>
                <a:gd name="connsiteX2" fmla="*/ 1138767 w 6993467"/>
                <a:gd name="connsiteY2" fmla="*/ 1062567 h 1814054"/>
                <a:gd name="connsiteX3" fmla="*/ 2142067 w 6993467"/>
                <a:gd name="connsiteY3" fmla="*/ 1066800 h 1814054"/>
                <a:gd name="connsiteX4" fmla="*/ 6993467 w 6993467"/>
                <a:gd name="connsiteY4" fmla="*/ 0 h 1814054"/>
                <a:gd name="connsiteX5" fmla="*/ 6958433 w 6993467"/>
                <a:gd name="connsiteY5" fmla="*/ 1493887 h 1814054"/>
                <a:gd name="connsiteX6" fmla="*/ 1277204 w 6993467"/>
                <a:gd name="connsiteY6" fmla="*/ 1444806 h 1814054"/>
                <a:gd name="connsiteX7" fmla="*/ 1084514 w 6993467"/>
                <a:gd name="connsiteY7" fmla="*/ 1814054 h 1814054"/>
                <a:gd name="connsiteX8" fmla="*/ 76785 w 6993467"/>
                <a:gd name="connsiteY8" fmla="*/ 1807747 h 1814054"/>
                <a:gd name="connsiteX9" fmla="*/ 0 w 6993467"/>
                <a:gd name="connsiteY9" fmla="*/ 1066800 h 1814054"/>
                <a:gd name="connsiteX10" fmla="*/ 114300 w 6993467"/>
                <a:gd name="connsiteY10" fmla="*/ 1066800 h 1814054"/>
                <a:gd name="connsiteX11" fmla="*/ 211667 w 6993467"/>
                <a:gd name="connsiteY11" fmla="*/ 1659467 h 1814054"/>
                <a:gd name="connsiteX0" fmla="*/ 211667 w 7002227"/>
                <a:gd name="connsiteY0" fmla="*/ 1659467 h 1814054"/>
                <a:gd name="connsiteX1" fmla="*/ 867833 w 7002227"/>
                <a:gd name="connsiteY1" fmla="*/ 1663700 h 1814054"/>
                <a:gd name="connsiteX2" fmla="*/ 1138767 w 7002227"/>
                <a:gd name="connsiteY2" fmla="*/ 1062567 h 1814054"/>
                <a:gd name="connsiteX3" fmla="*/ 2142067 w 7002227"/>
                <a:gd name="connsiteY3" fmla="*/ 1066800 h 1814054"/>
                <a:gd name="connsiteX4" fmla="*/ 6993467 w 7002227"/>
                <a:gd name="connsiteY4" fmla="*/ 0 h 1814054"/>
                <a:gd name="connsiteX5" fmla="*/ 7002227 w 7002227"/>
                <a:gd name="connsiteY5" fmla="*/ 1493887 h 1814054"/>
                <a:gd name="connsiteX6" fmla="*/ 1277204 w 7002227"/>
                <a:gd name="connsiteY6" fmla="*/ 1444806 h 1814054"/>
                <a:gd name="connsiteX7" fmla="*/ 1084514 w 7002227"/>
                <a:gd name="connsiteY7" fmla="*/ 1814054 h 1814054"/>
                <a:gd name="connsiteX8" fmla="*/ 76785 w 7002227"/>
                <a:gd name="connsiteY8" fmla="*/ 1807747 h 1814054"/>
                <a:gd name="connsiteX9" fmla="*/ 0 w 7002227"/>
                <a:gd name="connsiteY9" fmla="*/ 1066800 h 1814054"/>
                <a:gd name="connsiteX10" fmla="*/ 114300 w 7002227"/>
                <a:gd name="connsiteY10" fmla="*/ 1066800 h 1814054"/>
                <a:gd name="connsiteX11" fmla="*/ 211667 w 7002227"/>
                <a:gd name="connsiteY11" fmla="*/ 1659467 h 1814054"/>
                <a:gd name="connsiteX0" fmla="*/ 211667 w 6993467"/>
                <a:gd name="connsiteY0" fmla="*/ 1659467 h 1814054"/>
                <a:gd name="connsiteX1" fmla="*/ 867833 w 6993467"/>
                <a:gd name="connsiteY1" fmla="*/ 1663700 h 1814054"/>
                <a:gd name="connsiteX2" fmla="*/ 1138767 w 6993467"/>
                <a:gd name="connsiteY2" fmla="*/ 1062567 h 1814054"/>
                <a:gd name="connsiteX3" fmla="*/ 2142067 w 6993467"/>
                <a:gd name="connsiteY3" fmla="*/ 1066800 h 1814054"/>
                <a:gd name="connsiteX4" fmla="*/ 6993467 w 6993467"/>
                <a:gd name="connsiteY4" fmla="*/ 0 h 1814054"/>
                <a:gd name="connsiteX5" fmla="*/ 6975951 w 6993467"/>
                <a:gd name="connsiteY5" fmla="*/ 1484655 h 1814054"/>
                <a:gd name="connsiteX6" fmla="*/ 1277204 w 6993467"/>
                <a:gd name="connsiteY6" fmla="*/ 1444806 h 1814054"/>
                <a:gd name="connsiteX7" fmla="*/ 1084514 w 6993467"/>
                <a:gd name="connsiteY7" fmla="*/ 1814054 h 1814054"/>
                <a:gd name="connsiteX8" fmla="*/ 76785 w 6993467"/>
                <a:gd name="connsiteY8" fmla="*/ 1807747 h 1814054"/>
                <a:gd name="connsiteX9" fmla="*/ 0 w 6993467"/>
                <a:gd name="connsiteY9" fmla="*/ 1066800 h 1814054"/>
                <a:gd name="connsiteX10" fmla="*/ 114300 w 6993467"/>
                <a:gd name="connsiteY10" fmla="*/ 1066800 h 1814054"/>
                <a:gd name="connsiteX11" fmla="*/ 211667 w 6993467"/>
                <a:gd name="connsiteY11" fmla="*/ 1659467 h 1814054"/>
                <a:gd name="connsiteX0" fmla="*/ 211667 w 6993467"/>
                <a:gd name="connsiteY0" fmla="*/ 1659467 h 1832295"/>
                <a:gd name="connsiteX1" fmla="*/ 867833 w 6993467"/>
                <a:gd name="connsiteY1" fmla="*/ 1663700 h 1832295"/>
                <a:gd name="connsiteX2" fmla="*/ 1138767 w 6993467"/>
                <a:gd name="connsiteY2" fmla="*/ 1062567 h 1832295"/>
                <a:gd name="connsiteX3" fmla="*/ 2142067 w 6993467"/>
                <a:gd name="connsiteY3" fmla="*/ 1066800 h 1832295"/>
                <a:gd name="connsiteX4" fmla="*/ 6993467 w 6993467"/>
                <a:gd name="connsiteY4" fmla="*/ 0 h 1832295"/>
                <a:gd name="connsiteX5" fmla="*/ 6975951 w 6993467"/>
                <a:gd name="connsiteY5" fmla="*/ 1484655 h 1832295"/>
                <a:gd name="connsiteX6" fmla="*/ 1277204 w 6993467"/>
                <a:gd name="connsiteY6" fmla="*/ 1444806 h 1832295"/>
                <a:gd name="connsiteX7" fmla="*/ 1763674 w 6993467"/>
                <a:gd name="connsiteY7" fmla="*/ 1832295 h 1832295"/>
                <a:gd name="connsiteX8" fmla="*/ 76785 w 6993467"/>
                <a:gd name="connsiteY8" fmla="*/ 1807747 h 1832295"/>
                <a:gd name="connsiteX9" fmla="*/ 0 w 6993467"/>
                <a:gd name="connsiteY9" fmla="*/ 1066800 h 1832295"/>
                <a:gd name="connsiteX10" fmla="*/ 114300 w 6993467"/>
                <a:gd name="connsiteY10" fmla="*/ 1066800 h 1832295"/>
                <a:gd name="connsiteX11" fmla="*/ 211667 w 6993467"/>
                <a:gd name="connsiteY11" fmla="*/ 1659467 h 1832295"/>
                <a:gd name="connsiteX0" fmla="*/ 211667 w 6993467"/>
                <a:gd name="connsiteY0" fmla="*/ 1659467 h 1832295"/>
                <a:gd name="connsiteX1" fmla="*/ 867833 w 6993467"/>
                <a:gd name="connsiteY1" fmla="*/ 1663700 h 1832295"/>
                <a:gd name="connsiteX2" fmla="*/ 1138767 w 6993467"/>
                <a:gd name="connsiteY2" fmla="*/ 1062567 h 1832295"/>
                <a:gd name="connsiteX3" fmla="*/ 2142067 w 6993467"/>
                <a:gd name="connsiteY3" fmla="*/ 1066800 h 1832295"/>
                <a:gd name="connsiteX4" fmla="*/ 6993467 w 6993467"/>
                <a:gd name="connsiteY4" fmla="*/ 0 h 1832295"/>
                <a:gd name="connsiteX5" fmla="*/ 6975951 w 6993467"/>
                <a:gd name="connsiteY5" fmla="*/ 1484655 h 1832295"/>
                <a:gd name="connsiteX6" fmla="*/ 2024280 w 6993467"/>
                <a:gd name="connsiteY6" fmla="*/ 1453926 h 1832295"/>
                <a:gd name="connsiteX7" fmla="*/ 1763674 w 6993467"/>
                <a:gd name="connsiteY7" fmla="*/ 1832295 h 1832295"/>
                <a:gd name="connsiteX8" fmla="*/ 76785 w 6993467"/>
                <a:gd name="connsiteY8" fmla="*/ 1807747 h 1832295"/>
                <a:gd name="connsiteX9" fmla="*/ 0 w 6993467"/>
                <a:gd name="connsiteY9" fmla="*/ 1066800 h 1832295"/>
                <a:gd name="connsiteX10" fmla="*/ 114300 w 6993467"/>
                <a:gd name="connsiteY10" fmla="*/ 1066800 h 1832295"/>
                <a:gd name="connsiteX11" fmla="*/ 211667 w 6993467"/>
                <a:gd name="connsiteY11" fmla="*/ 1659467 h 1832295"/>
                <a:gd name="connsiteX0" fmla="*/ 211667 w 6993467"/>
                <a:gd name="connsiteY0" fmla="*/ 1659467 h 1807747"/>
                <a:gd name="connsiteX1" fmla="*/ 867833 w 6993467"/>
                <a:gd name="connsiteY1" fmla="*/ 1663700 h 1807747"/>
                <a:gd name="connsiteX2" fmla="*/ 1138767 w 6993467"/>
                <a:gd name="connsiteY2" fmla="*/ 1062567 h 1807747"/>
                <a:gd name="connsiteX3" fmla="*/ 2142067 w 6993467"/>
                <a:gd name="connsiteY3" fmla="*/ 1066800 h 1807747"/>
                <a:gd name="connsiteX4" fmla="*/ 6993467 w 6993467"/>
                <a:gd name="connsiteY4" fmla="*/ 0 h 1807747"/>
                <a:gd name="connsiteX5" fmla="*/ 6975951 w 6993467"/>
                <a:gd name="connsiteY5" fmla="*/ 1484655 h 1807747"/>
                <a:gd name="connsiteX6" fmla="*/ 2024280 w 6993467"/>
                <a:gd name="connsiteY6" fmla="*/ 1453926 h 1807747"/>
                <a:gd name="connsiteX7" fmla="*/ 1763674 w 6993467"/>
                <a:gd name="connsiteY7" fmla="*/ 1804933 h 1807747"/>
                <a:gd name="connsiteX8" fmla="*/ 76785 w 6993467"/>
                <a:gd name="connsiteY8" fmla="*/ 1807747 h 1807747"/>
                <a:gd name="connsiteX9" fmla="*/ 0 w 6993467"/>
                <a:gd name="connsiteY9" fmla="*/ 1066800 h 1807747"/>
                <a:gd name="connsiteX10" fmla="*/ 114300 w 6993467"/>
                <a:gd name="connsiteY10" fmla="*/ 1066800 h 1807747"/>
                <a:gd name="connsiteX11" fmla="*/ 211667 w 6993467"/>
                <a:gd name="connsiteY11" fmla="*/ 1659467 h 180774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6993467" h="1807747">
                  <a:moveTo>
                    <a:pt x="211667" y="1659467"/>
                  </a:moveTo>
                  <a:lnTo>
                    <a:pt x="867833" y="1663700"/>
                  </a:lnTo>
                  <a:lnTo>
                    <a:pt x="1138767" y="1062567"/>
                  </a:lnTo>
                  <a:lnTo>
                    <a:pt x="2142067" y="1066800"/>
                  </a:lnTo>
                  <a:lnTo>
                    <a:pt x="6993467" y="0"/>
                  </a:lnTo>
                  <a:lnTo>
                    <a:pt x="6975951" y="1484655"/>
                  </a:lnTo>
                  <a:lnTo>
                    <a:pt x="2024280" y="1453926"/>
                  </a:lnTo>
                  <a:lnTo>
                    <a:pt x="1763674" y="1804933"/>
                  </a:lnTo>
                  <a:lnTo>
                    <a:pt x="76785" y="1807747"/>
                  </a:lnTo>
                  <a:lnTo>
                    <a:pt x="0" y="1066800"/>
                  </a:lnTo>
                  <a:lnTo>
                    <a:pt x="114300" y="1066800"/>
                  </a:lnTo>
                  <a:lnTo>
                    <a:pt x="211667" y="1659467"/>
                  </a:lnTo>
                  <a:close/>
                </a:path>
              </a:pathLst>
            </a:custGeom>
            <a:solidFill>
              <a:schemeClr val="accent6">
                <a:lumMod val="20000"/>
                <a:lumOff val="80000"/>
              </a:schemeClr>
            </a:solidFill>
            <a:ln>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4" name="Freeform: Shape 3">
              <a:extLst>
                <a:ext uri="{FF2B5EF4-FFF2-40B4-BE49-F238E27FC236}">
                  <a16:creationId xmlns:a16="http://schemas.microsoft.com/office/drawing/2014/main" id="{C472DBAF-AE7C-4BE8-A8FE-4120662504C8}"/>
                </a:ext>
              </a:extLst>
            </xdr:cNvPr>
            <xdr:cNvSpPr/>
          </xdr:nvSpPr>
          <xdr:spPr>
            <a:xfrm>
              <a:off x="1238955" y="2157590"/>
              <a:ext cx="1137356" cy="530748"/>
            </a:xfrm>
            <a:custGeom>
              <a:avLst/>
              <a:gdLst>
                <a:gd name="connsiteX0" fmla="*/ 749300 w 986367"/>
                <a:gd name="connsiteY0" fmla="*/ 524934 h 524934"/>
                <a:gd name="connsiteX1" fmla="*/ 84667 w 986367"/>
                <a:gd name="connsiteY1" fmla="*/ 516467 h 524934"/>
                <a:gd name="connsiteX2" fmla="*/ 0 w 986367"/>
                <a:gd name="connsiteY2" fmla="*/ 16934 h 524934"/>
                <a:gd name="connsiteX3" fmla="*/ 986367 w 986367"/>
                <a:gd name="connsiteY3" fmla="*/ 0 h 524934"/>
                <a:gd name="connsiteX4" fmla="*/ 749300 w 986367"/>
                <a:gd name="connsiteY4" fmla="*/ 524934 h 524934"/>
                <a:gd name="connsiteX0" fmla="*/ 749300 w 986367"/>
                <a:gd name="connsiteY0" fmla="*/ 524934 h 526596"/>
                <a:gd name="connsiteX1" fmla="*/ 30074 w 986367"/>
                <a:gd name="connsiteY1" fmla="*/ 526596 h 526596"/>
                <a:gd name="connsiteX2" fmla="*/ 0 w 986367"/>
                <a:gd name="connsiteY2" fmla="*/ 16934 h 526596"/>
                <a:gd name="connsiteX3" fmla="*/ 986367 w 986367"/>
                <a:gd name="connsiteY3" fmla="*/ 0 h 526596"/>
                <a:gd name="connsiteX4" fmla="*/ 749300 w 986367"/>
                <a:gd name="connsiteY4" fmla="*/ 524934 h 526596"/>
                <a:gd name="connsiteX0" fmla="*/ 812992 w 986367"/>
                <a:gd name="connsiteY0" fmla="*/ 535063 h 535063"/>
                <a:gd name="connsiteX1" fmla="*/ 30074 w 986367"/>
                <a:gd name="connsiteY1" fmla="*/ 526596 h 535063"/>
                <a:gd name="connsiteX2" fmla="*/ 0 w 986367"/>
                <a:gd name="connsiteY2" fmla="*/ 16934 h 535063"/>
                <a:gd name="connsiteX3" fmla="*/ 986367 w 986367"/>
                <a:gd name="connsiteY3" fmla="*/ 0 h 535063"/>
                <a:gd name="connsiteX4" fmla="*/ 812992 w 986367"/>
                <a:gd name="connsiteY4" fmla="*/ 535063 h 535063"/>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986367" h="535063">
                  <a:moveTo>
                    <a:pt x="812992" y="535063"/>
                  </a:moveTo>
                  <a:lnTo>
                    <a:pt x="30074" y="526596"/>
                  </a:lnTo>
                  <a:lnTo>
                    <a:pt x="0" y="16934"/>
                  </a:lnTo>
                  <a:lnTo>
                    <a:pt x="986367" y="0"/>
                  </a:lnTo>
                  <a:lnTo>
                    <a:pt x="812992" y="535063"/>
                  </a:lnTo>
                  <a:close/>
                </a:path>
              </a:pathLst>
            </a:custGeom>
            <a:gradFill flip="none" rotWithShape="1">
              <a:gsLst>
                <a:gs pos="0">
                  <a:srgbClr val="20AAE8">
                    <a:shade val="30000"/>
                    <a:satMod val="115000"/>
                  </a:srgbClr>
                </a:gs>
                <a:gs pos="50000">
                  <a:srgbClr val="20AAE8">
                    <a:shade val="67500"/>
                    <a:satMod val="115000"/>
                  </a:srgbClr>
                </a:gs>
                <a:gs pos="100000">
                  <a:srgbClr val="20AAE8">
                    <a:shade val="100000"/>
                    <a:satMod val="115000"/>
                  </a:srgbClr>
                </a:gs>
              </a:gsLst>
              <a:lin ang="18900000" scaled="1"/>
              <a:tileRect/>
            </a:gradFill>
            <a:ln>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cxnSp macro="">
        <xdr:nvCxnSpPr>
          <xdr:cNvPr id="5" name="Straight Connector 4">
            <a:extLst>
              <a:ext uri="{FF2B5EF4-FFF2-40B4-BE49-F238E27FC236}">
                <a16:creationId xmlns:a16="http://schemas.microsoft.com/office/drawing/2014/main" id="{1AFB608E-E953-4F20-8D4A-7B48B68AB148}"/>
              </a:ext>
            </a:extLst>
          </xdr:cNvPr>
          <xdr:cNvCxnSpPr/>
        </xdr:nvCxnSpPr>
        <xdr:spPr>
          <a:xfrm flipV="1">
            <a:off x="8782798" y="1771363"/>
            <a:ext cx="2292979" cy="564039"/>
          </a:xfrm>
          <a:prstGeom prst="line">
            <a:avLst/>
          </a:prstGeom>
          <a:ln w="101600">
            <a:solidFill>
              <a:srgbClr val="FF8B8B"/>
            </a:solidFill>
          </a:ln>
        </xdr:spPr>
        <xdr:style>
          <a:lnRef idx="1">
            <a:schemeClr val="accent1"/>
          </a:lnRef>
          <a:fillRef idx="0">
            <a:schemeClr val="accent1"/>
          </a:fillRef>
          <a:effectRef idx="0">
            <a:schemeClr val="accent1"/>
          </a:effectRef>
          <a:fontRef idx="minor">
            <a:schemeClr val="tx1"/>
          </a:fontRef>
        </xdr:style>
      </xdr:cxnSp>
      <xdr:sp macro="" textlink="">
        <xdr:nvSpPr>
          <xdr:cNvPr id="6" name="Freeform: Shape 5">
            <a:extLst>
              <a:ext uri="{FF2B5EF4-FFF2-40B4-BE49-F238E27FC236}">
                <a16:creationId xmlns:a16="http://schemas.microsoft.com/office/drawing/2014/main" id="{13E0764B-725E-4FA4-A4D4-5704359FF61A}"/>
              </a:ext>
            </a:extLst>
          </xdr:cNvPr>
          <xdr:cNvSpPr/>
        </xdr:nvSpPr>
        <xdr:spPr>
          <a:xfrm>
            <a:off x="6106794" y="2286873"/>
            <a:ext cx="2657053" cy="716127"/>
          </a:xfrm>
          <a:custGeom>
            <a:avLst/>
            <a:gdLst>
              <a:gd name="connsiteX0" fmla="*/ 0 w 4066859"/>
              <a:gd name="connsiteY0" fmla="*/ 369794 h 856510"/>
              <a:gd name="connsiteX1" fmla="*/ 414617 w 4066859"/>
              <a:gd name="connsiteY1" fmla="*/ 381000 h 856510"/>
              <a:gd name="connsiteX2" fmla="*/ 470647 w 4066859"/>
              <a:gd name="connsiteY2" fmla="*/ 784412 h 856510"/>
              <a:gd name="connsiteX3" fmla="*/ 1120588 w 4066859"/>
              <a:gd name="connsiteY3" fmla="*/ 806823 h 856510"/>
              <a:gd name="connsiteX4" fmla="*/ 3821206 w 4066859"/>
              <a:gd name="connsiteY4" fmla="*/ 268941 h 856510"/>
              <a:gd name="connsiteX5" fmla="*/ 3776382 w 4066859"/>
              <a:gd name="connsiteY5" fmla="*/ 0 h 856510"/>
              <a:gd name="connsiteX0" fmla="*/ 0 w 4066859"/>
              <a:gd name="connsiteY0" fmla="*/ 369794 h 867391"/>
              <a:gd name="connsiteX1" fmla="*/ 414617 w 4066859"/>
              <a:gd name="connsiteY1" fmla="*/ 381000 h 867391"/>
              <a:gd name="connsiteX2" fmla="*/ 470647 w 4066859"/>
              <a:gd name="connsiteY2" fmla="*/ 784412 h 867391"/>
              <a:gd name="connsiteX3" fmla="*/ 1120588 w 4066859"/>
              <a:gd name="connsiteY3" fmla="*/ 806823 h 867391"/>
              <a:gd name="connsiteX4" fmla="*/ 3821206 w 4066859"/>
              <a:gd name="connsiteY4" fmla="*/ 268941 h 867391"/>
              <a:gd name="connsiteX5" fmla="*/ 3776382 w 4066859"/>
              <a:gd name="connsiteY5" fmla="*/ 0 h 867391"/>
              <a:gd name="connsiteX0" fmla="*/ 0 w 4066859"/>
              <a:gd name="connsiteY0" fmla="*/ 369794 h 856510"/>
              <a:gd name="connsiteX1" fmla="*/ 414617 w 4066859"/>
              <a:gd name="connsiteY1" fmla="*/ 381000 h 856510"/>
              <a:gd name="connsiteX2" fmla="*/ 470647 w 4066859"/>
              <a:gd name="connsiteY2" fmla="*/ 784412 h 856510"/>
              <a:gd name="connsiteX3" fmla="*/ 1120588 w 4066859"/>
              <a:gd name="connsiteY3" fmla="*/ 806823 h 856510"/>
              <a:gd name="connsiteX4" fmla="*/ 3821206 w 4066859"/>
              <a:gd name="connsiteY4" fmla="*/ 268941 h 856510"/>
              <a:gd name="connsiteX5" fmla="*/ 3776382 w 4066859"/>
              <a:gd name="connsiteY5" fmla="*/ 0 h 856510"/>
              <a:gd name="connsiteX0" fmla="*/ 0 w 3899203"/>
              <a:gd name="connsiteY0" fmla="*/ 369794 h 856510"/>
              <a:gd name="connsiteX1" fmla="*/ 414617 w 3899203"/>
              <a:gd name="connsiteY1" fmla="*/ 381000 h 856510"/>
              <a:gd name="connsiteX2" fmla="*/ 470647 w 3899203"/>
              <a:gd name="connsiteY2" fmla="*/ 784412 h 856510"/>
              <a:gd name="connsiteX3" fmla="*/ 1120588 w 3899203"/>
              <a:gd name="connsiteY3" fmla="*/ 806823 h 856510"/>
              <a:gd name="connsiteX4" fmla="*/ 3821206 w 3899203"/>
              <a:gd name="connsiteY4" fmla="*/ 268941 h 856510"/>
              <a:gd name="connsiteX5" fmla="*/ 3776382 w 3899203"/>
              <a:gd name="connsiteY5" fmla="*/ 0 h 856510"/>
              <a:gd name="connsiteX0" fmla="*/ 0 w 3821619"/>
              <a:gd name="connsiteY0" fmla="*/ 369794 h 856510"/>
              <a:gd name="connsiteX1" fmla="*/ 414617 w 3821619"/>
              <a:gd name="connsiteY1" fmla="*/ 381000 h 856510"/>
              <a:gd name="connsiteX2" fmla="*/ 470647 w 3821619"/>
              <a:gd name="connsiteY2" fmla="*/ 784412 h 856510"/>
              <a:gd name="connsiteX3" fmla="*/ 1120588 w 3821619"/>
              <a:gd name="connsiteY3" fmla="*/ 806823 h 856510"/>
              <a:gd name="connsiteX4" fmla="*/ 3821206 w 3821619"/>
              <a:gd name="connsiteY4" fmla="*/ 268941 h 856510"/>
              <a:gd name="connsiteX5" fmla="*/ 3776382 w 3821619"/>
              <a:gd name="connsiteY5" fmla="*/ 0 h 856510"/>
              <a:gd name="connsiteX0" fmla="*/ 0 w 3778354"/>
              <a:gd name="connsiteY0" fmla="*/ 369794 h 856510"/>
              <a:gd name="connsiteX1" fmla="*/ 414617 w 3778354"/>
              <a:gd name="connsiteY1" fmla="*/ 381000 h 856510"/>
              <a:gd name="connsiteX2" fmla="*/ 470647 w 3778354"/>
              <a:gd name="connsiteY2" fmla="*/ 784412 h 856510"/>
              <a:gd name="connsiteX3" fmla="*/ 1120588 w 3778354"/>
              <a:gd name="connsiteY3" fmla="*/ 806823 h 856510"/>
              <a:gd name="connsiteX4" fmla="*/ 3776382 w 3778354"/>
              <a:gd name="connsiteY4" fmla="*/ 268941 h 856510"/>
              <a:gd name="connsiteX5" fmla="*/ 3776382 w 3778354"/>
              <a:gd name="connsiteY5" fmla="*/ 0 h 856510"/>
              <a:gd name="connsiteX0" fmla="*/ 0 w 3778354"/>
              <a:gd name="connsiteY0" fmla="*/ 369794 h 856510"/>
              <a:gd name="connsiteX1" fmla="*/ 414617 w 3778354"/>
              <a:gd name="connsiteY1" fmla="*/ 381000 h 856510"/>
              <a:gd name="connsiteX2" fmla="*/ 470647 w 3778354"/>
              <a:gd name="connsiteY2" fmla="*/ 784412 h 856510"/>
              <a:gd name="connsiteX3" fmla="*/ 1120588 w 3778354"/>
              <a:gd name="connsiteY3" fmla="*/ 806823 h 856510"/>
              <a:gd name="connsiteX4" fmla="*/ 3776382 w 3778354"/>
              <a:gd name="connsiteY4" fmla="*/ 268941 h 856510"/>
              <a:gd name="connsiteX5" fmla="*/ 3776382 w 3778354"/>
              <a:gd name="connsiteY5" fmla="*/ 0 h 856510"/>
              <a:gd name="connsiteX0" fmla="*/ 833 w 3779187"/>
              <a:gd name="connsiteY0" fmla="*/ 369794 h 856510"/>
              <a:gd name="connsiteX1" fmla="*/ 415450 w 3779187"/>
              <a:gd name="connsiteY1" fmla="*/ 381000 h 856510"/>
              <a:gd name="connsiteX2" fmla="*/ 471480 w 3779187"/>
              <a:gd name="connsiteY2" fmla="*/ 784412 h 856510"/>
              <a:gd name="connsiteX3" fmla="*/ 1121421 w 3779187"/>
              <a:gd name="connsiteY3" fmla="*/ 806823 h 856510"/>
              <a:gd name="connsiteX4" fmla="*/ 3777215 w 3779187"/>
              <a:gd name="connsiteY4" fmla="*/ 268941 h 856510"/>
              <a:gd name="connsiteX5" fmla="*/ 3777215 w 3779187"/>
              <a:gd name="connsiteY5" fmla="*/ 0 h 856510"/>
              <a:gd name="connsiteX0" fmla="*/ 1001 w 3779355"/>
              <a:gd name="connsiteY0" fmla="*/ 369794 h 867257"/>
              <a:gd name="connsiteX1" fmla="*/ 415618 w 3779355"/>
              <a:gd name="connsiteY1" fmla="*/ 381000 h 867257"/>
              <a:gd name="connsiteX2" fmla="*/ 460442 w 3779355"/>
              <a:gd name="connsiteY2" fmla="*/ 806824 h 867257"/>
              <a:gd name="connsiteX3" fmla="*/ 1121589 w 3779355"/>
              <a:gd name="connsiteY3" fmla="*/ 806823 h 867257"/>
              <a:gd name="connsiteX4" fmla="*/ 3777383 w 3779355"/>
              <a:gd name="connsiteY4" fmla="*/ 268941 h 867257"/>
              <a:gd name="connsiteX5" fmla="*/ 3777383 w 3779355"/>
              <a:gd name="connsiteY5" fmla="*/ 0 h 867257"/>
              <a:gd name="connsiteX0" fmla="*/ 1001 w 3779355"/>
              <a:gd name="connsiteY0" fmla="*/ 369794 h 873360"/>
              <a:gd name="connsiteX1" fmla="*/ 415618 w 3779355"/>
              <a:gd name="connsiteY1" fmla="*/ 381000 h 873360"/>
              <a:gd name="connsiteX2" fmla="*/ 460442 w 3779355"/>
              <a:gd name="connsiteY2" fmla="*/ 818030 h 873360"/>
              <a:gd name="connsiteX3" fmla="*/ 1121589 w 3779355"/>
              <a:gd name="connsiteY3" fmla="*/ 806823 h 873360"/>
              <a:gd name="connsiteX4" fmla="*/ 3777383 w 3779355"/>
              <a:gd name="connsiteY4" fmla="*/ 268941 h 873360"/>
              <a:gd name="connsiteX5" fmla="*/ 3777383 w 3779355"/>
              <a:gd name="connsiteY5" fmla="*/ 0 h 873360"/>
              <a:gd name="connsiteX0" fmla="*/ 1001 w 3779355"/>
              <a:gd name="connsiteY0" fmla="*/ 369794 h 851574"/>
              <a:gd name="connsiteX1" fmla="*/ 415618 w 3779355"/>
              <a:gd name="connsiteY1" fmla="*/ 381000 h 851574"/>
              <a:gd name="connsiteX2" fmla="*/ 460442 w 3779355"/>
              <a:gd name="connsiteY2" fmla="*/ 818030 h 851574"/>
              <a:gd name="connsiteX3" fmla="*/ 1121589 w 3779355"/>
              <a:gd name="connsiteY3" fmla="*/ 806823 h 851574"/>
              <a:gd name="connsiteX4" fmla="*/ 3777383 w 3779355"/>
              <a:gd name="connsiteY4" fmla="*/ 268941 h 851574"/>
              <a:gd name="connsiteX5" fmla="*/ 3777383 w 3779355"/>
              <a:gd name="connsiteY5" fmla="*/ 0 h 851574"/>
              <a:gd name="connsiteX0" fmla="*/ 873 w 3779227"/>
              <a:gd name="connsiteY0" fmla="*/ 369794 h 851574"/>
              <a:gd name="connsiteX1" fmla="*/ 415490 w 3779227"/>
              <a:gd name="connsiteY1" fmla="*/ 381000 h 851574"/>
              <a:gd name="connsiteX2" fmla="*/ 460314 w 3779227"/>
              <a:gd name="connsiteY2" fmla="*/ 818030 h 851574"/>
              <a:gd name="connsiteX3" fmla="*/ 1121461 w 3779227"/>
              <a:gd name="connsiteY3" fmla="*/ 806823 h 851574"/>
              <a:gd name="connsiteX4" fmla="*/ 3777255 w 3779227"/>
              <a:gd name="connsiteY4" fmla="*/ 268941 h 851574"/>
              <a:gd name="connsiteX5" fmla="*/ 3777255 w 3779227"/>
              <a:gd name="connsiteY5" fmla="*/ 0 h 851574"/>
              <a:gd name="connsiteX0" fmla="*/ 873 w 3779227"/>
              <a:gd name="connsiteY0" fmla="*/ 369794 h 822944"/>
              <a:gd name="connsiteX1" fmla="*/ 415490 w 3779227"/>
              <a:gd name="connsiteY1" fmla="*/ 381000 h 822944"/>
              <a:gd name="connsiteX2" fmla="*/ 460314 w 3779227"/>
              <a:gd name="connsiteY2" fmla="*/ 818030 h 822944"/>
              <a:gd name="connsiteX3" fmla="*/ 1121461 w 3779227"/>
              <a:gd name="connsiteY3" fmla="*/ 806823 h 822944"/>
              <a:gd name="connsiteX4" fmla="*/ 3777255 w 3779227"/>
              <a:gd name="connsiteY4" fmla="*/ 268941 h 822944"/>
              <a:gd name="connsiteX5" fmla="*/ 3777255 w 3779227"/>
              <a:gd name="connsiteY5" fmla="*/ 0 h 822944"/>
              <a:gd name="connsiteX0" fmla="*/ 873 w 3779227"/>
              <a:gd name="connsiteY0" fmla="*/ 369794 h 854644"/>
              <a:gd name="connsiteX1" fmla="*/ 415490 w 3779227"/>
              <a:gd name="connsiteY1" fmla="*/ 347382 h 854644"/>
              <a:gd name="connsiteX2" fmla="*/ 460314 w 3779227"/>
              <a:gd name="connsiteY2" fmla="*/ 818030 h 854644"/>
              <a:gd name="connsiteX3" fmla="*/ 1121461 w 3779227"/>
              <a:gd name="connsiteY3" fmla="*/ 806823 h 854644"/>
              <a:gd name="connsiteX4" fmla="*/ 3777255 w 3779227"/>
              <a:gd name="connsiteY4" fmla="*/ 268941 h 854644"/>
              <a:gd name="connsiteX5" fmla="*/ 3777255 w 3779227"/>
              <a:gd name="connsiteY5" fmla="*/ 0 h 854644"/>
              <a:gd name="connsiteX0" fmla="*/ 873 w 3779227"/>
              <a:gd name="connsiteY0" fmla="*/ 369794 h 818294"/>
              <a:gd name="connsiteX1" fmla="*/ 415490 w 3779227"/>
              <a:gd name="connsiteY1" fmla="*/ 347382 h 818294"/>
              <a:gd name="connsiteX2" fmla="*/ 460314 w 3779227"/>
              <a:gd name="connsiteY2" fmla="*/ 818030 h 818294"/>
              <a:gd name="connsiteX3" fmla="*/ 1121461 w 3779227"/>
              <a:gd name="connsiteY3" fmla="*/ 806823 h 818294"/>
              <a:gd name="connsiteX4" fmla="*/ 3777255 w 3779227"/>
              <a:gd name="connsiteY4" fmla="*/ 268941 h 818294"/>
              <a:gd name="connsiteX5" fmla="*/ 3777255 w 3779227"/>
              <a:gd name="connsiteY5" fmla="*/ 0 h 818294"/>
              <a:gd name="connsiteX0" fmla="*/ 873 w 3779227"/>
              <a:gd name="connsiteY0" fmla="*/ 369794 h 852988"/>
              <a:gd name="connsiteX1" fmla="*/ 415490 w 3779227"/>
              <a:gd name="connsiteY1" fmla="*/ 369794 h 852988"/>
              <a:gd name="connsiteX2" fmla="*/ 460314 w 3779227"/>
              <a:gd name="connsiteY2" fmla="*/ 818030 h 852988"/>
              <a:gd name="connsiteX3" fmla="*/ 1121461 w 3779227"/>
              <a:gd name="connsiteY3" fmla="*/ 806823 h 852988"/>
              <a:gd name="connsiteX4" fmla="*/ 3777255 w 3779227"/>
              <a:gd name="connsiteY4" fmla="*/ 268941 h 852988"/>
              <a:gd name="connsiteX5" fmla="*/ 3777255 w 3779227"/>
              <a:gd name="connsiteY5" fmla="*/ 0 h 852988"/>
              <a:gd name="connsiteX0" fmla="*/ 873 w 3779227"/>
              <a:gd name="connsiteY0" fmla="*/ 369794 h 819237"/>
              <a:gd name="connsiteX1" fmla="*/ 415490 w 3779227"/>
              <a:gd name="connsiteY1" fmla="*/ 369794 h 819237"/>
              <a:gd name="connsiteX2" fmla="*/ 460314 w 3779227"/>
              <a:gd name="connsiteY2" fmla="*/ 818030 h 819237"/>
              <a:gd name="connsiteX3" fmla="*/ 1121461 w 3779227"/>
              <a:gd name="connsiteY3" fmla="*/ 806823 h 819237"/>
              <a:gd name="connsiteX4" fmla="*/ 3777255 w 3779227"/>
              <a:gd name="connsiteY4" fmla="*/ 268941 h 819237"/>
              <a:gd name="connsiteX5" fmla="*/ 3777255 w 3779227"/>
              <a:gd name="connsiteY5" fmla="*/ 0 h 819237"/>
              <a:gd name="connsiteX0" fmla="*/ 873 w 3779227"/>
              <a:gd name="connsiteY0" fmla="*/ 369794 h 818481"/>
              <a:gd name="connsiteX1" fmla="*/ 415490 w 3779227"/>
              <a:gd name="connsiteY1" fmla="*/ 369794 h 818481"/>
              <a:gd name="connsiteX2" fmla="*/ 460314 w 3779227"/>
              <a:gd name="connsiteY2" fmla="*/ 818030 h 818481"/>
              <a:gd name="connsiteX3" fmla="*/ 1121461 w 3779227"/>
              <a:gd name="connsiteY3" fmla="*/ 806823 h 818481"/>
              <a:gd name="connsiteX4" fmla="*/ 3777255 w 3779227"/>
              <a:gd name="connsiteY4" fmla="*/ 268941 h 818481"/>
              <a:gd name="connsiteX5" fmla="*/ 3777255 w 3779227"/>
              <a:gd name="connsiteY5" fmla="*/ 0 h 818481"/>
              <a:gd name="connsiteX0" fmla="*/ 873 w 3971566"/>
              <a:gd name="connsiteY0" fmla="*/ 460933 h 909620"/>
              <a:gd name="connsiteX1" fmla="*/ 415490 w 3971566"/>
              <a:gd name="connsiteY1" fmla="*/ 460933 h 909620"/>
              <a:gd name="connsiteX2" fmla="*/ 460314 w 3971566"/>
              <a:gd name="connsiteY2" fmla="*/ 909169 h 909620"/>
              <a:gd name="connsiteX3" fmla="*/ 1121461 w 3971566"/>
              <a:gd name="connsiteY3" fmla="*/ 897962 h 909620"/>
              <a:gd name="connsiteX4" fmla="*/ 3777255 w 3971566"/>
              <a:gd name="connsiteY4" fmla="*/ 360080 h 909620"/>
              <a:gd name="connsiteX5" fmla="*/ 3771823 w 3971566"/>
              <a:gd name="connsiteY5" fmla="*/ 0 h 909620"/>
              <a:gd name="connsiteX0" fmla="*/ 873 w 3971566"/>
              <a:gd name="connsiteY0" fmla="*/ 460933 h 909620"/>
              <a:gd name="connsiteX1" fmla="*/ 415490 w 3971566"/>
              <a:gd name="connsiteY1" fmla="*/ 460933 h 909620"/>
              <a:gd name="connsiteX2" fmla="*/ 460314 w 3971566"/>
              <a:gd name="connsiteY2" fmla="*/ 909169 h 909620"/>
              <a:gd name="connsiteX3" fmla="*/ 1121461 w 3971566"/>
              <a:gd name="connsiteY3" fmla="*/ 897962 h 909620"/>
              <a:gd name="connsiteX4" fmla="*/ 3777255 w 3971566"/>
              <a:gd name="connsiteY4" fmla="*/ 360080 h 909620"/>
              <a:gd name="connsiteX5" fmla="*/ 3771823 w 3971566"/>
              <a:gd name="connsiteY5" fmla="*/ 0 h 909620"/>
              <a:gd name="connsiteX0" fmla="*/ 873 w 3777258"/>
              <a:gd name="connsiteY0" fmla="*/ 460933 h 909620"/>
              <a:gd name="connsiteX1" fmla="*/ 415490 w 3777258"/>
              <a:gd name="connsiteY1" fmla="*/ 460933 h 909620"/>
              <a:gd name="connsiteX2" fmla="*/ 460314 w 3777258"/>
              <a:gd name="connsiteY2" fmla="*/ 909169 h 909620"/>
              <a:gd name="connsiteX3" fmla="*/ 1121461 w 3777258"/>
              <a:gd name="connsiteY3" fmla="*/ 897962 h 909620"/>
              <a:gd name="connsiteX4" fmla="*/ 3777255 w 3777258"/>
              <a:gd name="connsiteY4" fmla="*/ 360080 h 909620"/>
              <a:gd name="connsiteX5" fmla="*/ 3771823 w 3777258"/>
              <a:gd name="connsiteY5" fmla="*/ 0 h 909620"/>
              <a:gd name="connsiteX0" fmla="*/ 873 w 3777258"/>
              <a:gd name="connsiteY0" fmla="*/ 460933 h 909620"/>
              <a:gd name="connsiteX1" fmla="*/ 415490 w 3777258"/>
              <a:gd name="connsiteY1" fmla="*/ 460933 h 909620"/>
              <a:gd name="connsiteX2" fmla="*/ 460314 w 3777258"/>
              <a:gd name="connsiteY2" fmla="*/ 909169 h 909620"/>
              <a:gd name="connsiteX3" fmla="*/ 1121461 w 3777258"/>
              <a:gd name="connsiteY3" fmla="*/ 897962 h 909620"/>
              <a:gd name="connsiteX4" fmla="*/ 3777255 w 3777258"/>
              <a:gd name="connsiteY4" fmla="*/ 360080 h 909620"/>
              <a:gd name="connsiteX5" fmla="*/ 3771823 w 3777258"/>
              <a:gd name="connsiteY5" fmla="*/ 0 h 909620"/>
              <a:gd name="connsiteX0" fmla="*/ 873 w 3777258"/>
              <a:gd name="connsiteY0" fmla="*/ 460933 h 910336"/>
              <a:gd name="connsiteX1" fmla="*/ 415490 w 3777258"/>
              <a:gd name="connsiteY1" fmla="*/ 460933 h 910336"/>
              <a:gd name="connsiteX2" fmla="*/ 460314 w 3777258"/>
              <a:gd name="connsiteY2" fmla="*/ 909169 h 910336"/>
              <a:gd name="connsiteX3" fmla="*/ 1121461 w 3777258"/>
              <a:gd name="connsiteY3" fmla="*/ 897962 h 910336"/>
              <a:gd name="connsiteX4" fmla="*/ 3777255 w 3777258"/>
              <a:gd name="connsiteY4" fmla="*/ 360080 h 910336"/>
              <a:gd name="connsiteX5" fmla="*/ 3771823 w 3777258"/>
              <a:gd name="connsiteY5" fmla="*/ 0 h 910336"/>
              <a:gd name="connsiteX0" fmla="*/ 873 w 3777258"/>
              <a:gd name="connsiteY0" fmla="*/ 460933 h 910336"/>
              <a:gd name="connsiteX1" fmla="*/ 415490 w 3777258"/>
              <a:gd name="connsiteY1" fmla="*/ 460933 h 910336"/>
              <a:gd name="connsiteX2" fmla="*/ 460314 w 3777258"/>
              <a:gd name="connsiteY2" fmla="*/ 909169 h 910336"/>
              <a:gd name="connsiteX3" fmla="*/ 1121461 w 3777258"/>
              <a:gd name="connsiteY3" fmla="*/ 897962 h 910336"/>
              <a:gd name="connsiteX4" fmla="*/ 3777255 w 3777258"/>
              <a:gd name="connsiteY4" fmla="*/ 360080 h 910336"/>
              <a:gd name="connsiteX5" fmla="*/ 3771823 w 3777258"/>
              <a:gd name="connsiteY5" fmla="*/ 0 h 910336"/>
              <a:gd name="connsiteX0" fmla="*/ 873 w 3777258"/>
              <a:gd name="connsiteY0" fmla="*/ 382289 h 831692"/>
              <a:gd name="connsiteX1" fmla="*/ 415490 w 3777258"/>
              <a:gd name="connsiteY1" fmla="*/ 382289 h 831692"/>
              <a:gd name="connsiteX2" fmla="*/ 460314 w 3777258"/>
              <a:gd name="connsiteY2" fmla="*/ 830525 h 831692"/>
              <a:gd name="connsiteX3" fmla="*/ 1121461 w 3777258"/>
              <a:gd name="connsiteY3" fmla="*/ 819318 h 831692"/>
              <a:gd name="connsiteX4" fmla="*/ 3777255 w 3777258"/>
              <a:gd name="connsiteY4" fmla="*/ 281436 h 831692"/>
              <a:gd name="connsiteX5" fmla="*/ 3771823 w 3777258"/>
              <a:gd name="connsiteY5" fmla="*/ 0 h 83169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3777258" h="831692">
                <a:moveTo>
                  <a:pt x="873" y="382289"/>
                </a:moveTo>
                <a:cubicBezTo>
                  <a:pt x="-21539" y="364546"/>
                  <a:pt x="394946" y="374818"/>
                  <a:pt x="415490" y="382289"/>
                </a:cubicBezTo>
                <a:cubicBezTo>
                  <a:pt x="436034" y="389760"/>
                  <a:pt x="455737" y="858057"/>
                  <a:pt x="460314" y="830525"/>
                </a:cubicBezTo>
                <a:lnTo>
                  <a:pt x="1121461" y="819318"/>
                </a:lnTo>
                <a:cubicBezTo>
                  <a:pt x="1192431" y="795038"/>
                  <a:pt x="3780937" y="318513"/>
                  <a:pt x="3777255" y="281436"/>
                </a:cubicBezTo>
                <a:cubicBezTo>
                  <a:pt x="3773573" y="244359"/>
                  <a:pt x="3769021" y="30191"/>
                  <a:pt x="3771823" y="0"/>
                </a:cubicBezTo>
              </a:path>
            </a:pathLst>
          </a:custGeom>
          <a:noFill/>
          <a:ln w="101600">
            <a:solidFill>
              <a:schemeClr val="accent5">
                <a:lumMod val="75000"/>
              </a:schemeClr>
            </a:solidFill>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8" name="Freeform: Shape 7">
            <a:extLst>
              <a:ext uri="{FF2B5EF4-FFF2-40B4-BE49-F238E27FC236}">
                <a16:creationId xmlns:a16="http://schemas.microsoft.com/office/drawing/2014/main" id="{E85E6201-3BCF-47C1-8636-E6605A67D78B}"/>
              </a:ext>
            </a:extLst>
          </xdr:cNvPr>
          <xdr:cNvSpPr/>
        </xdr:nvSpPr>
        <xdr:spPr>
          <a:xfrm>
            <a:off x="11038701" y="933900"/>
            <a:ext cx="608455" cy="918265"/>
          </a:xfrm>
          <a:custGeom>
            <a:avLst/>
            <a:gdLst>
              <a:gd name="connsiteX0" fmla="*/ 4233 w 664633"/>
              <a:gd name="connsiteY0" fmla="*/ 698500 h 698500"/>
              <a:gd name="connsiteX1" fmla="*/ 0 w 664633"/>
              <a:gd name="connsiteY1" fmla="*/ 160867 h 698500"/>
              <a:gd name="connsiteX2" fmla="*/ 321733 w 664633"/>
              <a:gd name="connsiteY2" fmla="*/ 16934 h 698500"/>
              <a:gd name="connsiteX3" fmla="*/ 647700 w 664633"/>
              <a:gd name="connsiteY3" fmla="*/ 0 h 698500"/>
              <a:gd name="connsiteX4" fmla="*/ 664633 w 664633"/>
              <a:gd name="connsiteY4" fmla="*/ 42334 h 698500"/>
              <a:gd name="connsiteX5" fmla="*/ 457200 w 664633"/>
              <a:gd name="connsiteY5" fmla="*/ 177800 h 698500"/>
              <a:gd name="connsiteX6" fmla="*/ 215900 w 664633"/>
              <a:gd name="connsiteY6" fmla="*/ 270934 h 698500"/>
              <a:gd name="connsiteX7" fmla="*/ 232833 w 664633"/>
              <a:gd name="connsiteY7" fmla="*/ 664634 h 698500"/>
              <a:gd name="connsiteX8" fmla="*/ 4233 w 664633"/>
              <a:gd name="connsiteY8" fmla="*/ 698500 h 6985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664633" h="698500">
                <a:moveTo>
                  <a:pt x="4233" y="698500"/>
                </a:moveTo>
                <a:lnTo>
                  <a:pt x="0" y="160867"/>
                </a:lnTo>
                <a:lnTo>
                  <a:pt x="321733" y="16934"/>
                </a:lnTo>
                <a:lnTo>
                  <a:pt x="647700" y="0"/>
                </a:lnTo>
                <a:lnTo>
                  <a:pt x="664633" y="42334"/>
                </a:lnTo>
                <a:lnTo>
                  <a:pt x="457200" y="177800"/>
                </a:lnTo>
                <a:lnTo>
                  <a:pt x="215900" y="270934"/>
                </a:lnTo>
                <a:lnTo>
                  <a:pt x="232833" y="664634"/>
                </a:lnTo>
                <a:lnTo>
                  <a:pt x="4233" y="698500"/>
                </a:lnTo>
                <a:close/>
              </a:path>
            </a:pathLst>
          </a:cu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9" name="Oval 8">
            <a:extLst>
              <a:ext uri="{FF2B5EF4-FFF2-40B4-BE49-F238E27FC236}">
                <a16:creationId xmlns:a16="http://schemas.microsoft.com/office/drawing/2014/main" id="{F2ACEE0F-C4F4-4A5E-B1D7-820E8DF34EFA}"/>
              </a:ext>
            </a:extLst>
          </xdr:cNvPr>
          <xdr:cNvSpPr/>
        </xdr:nvSpPr>
        <xdr:spPr>
          <a:xfrm>
            <a:off x="5817059" y="2524356"/>
            <a:ext cx="368105" cy="321238"/>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xnSp macro="">
        <xdr:nvCxnSpPr>
          <xdr:cNvPr id="10" name="Straight Connector 9">
            <a:extLst>
              <a:ext uri="{FF2B5EF4-FFF2-40B4-BE49-F238E27FC236}">
                <a16:creationId xmlns:a16="http://schemas.microsoft.com/office/drawing/2014/main" id="{6D74D273-11AB-45B0-A853-41B5FD5F2462}"/>
              </a:ext>
            </a:extLst>
          </xdr:cNvPr>
          <xdr:cNvCxnSpPr/>
        </xdr:nvCxnSpPr>
        <xdr:spPr>
          <a:xfrm flipV="1">
            <a:off x="4503980" y="2669452"/>
            <a:ext cx="6757280" cy="28730"/>
          </a:xfrm>
          <a:prstGeom prst="line">
            <a:avLst/>
          </a:prstGeom>
          <a:ln w="19050" cap="flat" cmpd="sng" algn="ctr">
            <a:solidFill>
              <a:schemeClr val="bg2">
                <a:lumMod val="50000"/>
              </a:schemeClr>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xnSp macro="">
        <xdr:nvCxnSpPr>
          <xdr:cNvPr id="11" name="Straight Connector 10">
            <a:extLst>
              <a:ext uri="{FF2B5EF4-FFF2-40B4-BE49-F238E27FC236}">
                <a16:creationId xmlns:a16="http://schemas.microsoft.com/office/drawing/2014/main" id="{AE6BBEF9-00F1-4520-874E-25F452473BE4}"/>
              </a:ext>
            </a:extLst>
          </xdr:cNvPr>
          <xdr:cNvCxnSpPr>
            <a:cxnSpLocks/>
          </xdr:cNvCxnSpPr>
        </xdr:nvCxnSpPr>
        <xdr:spPr>
          <a:xfrm>
            <a:off x="6478907" y="2303853"/>
            <a:ext cx="2431373" cy="19153"/>
          </a:xfrm>
          <a:prstGeom prst="line">
            <a:avLst/>
          </a:prstGeom>
          <a:ln w="19050" cap="flat" cmpd="sng" algn="ctr">
            <a:solidFill>
              <a:schemeClr val="bg2">
                <a:lumMod val="50000"/>
              </a:schemeClr>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xnSp macro="">
        <xdr:nvCxnSpPr>
          <xdr:cNvPr id="12" name="Straight Connector 11">
            <a:extLst>
              <a:ext uri="{FF2B5EF4-FFF2-40B4-BE49-F238E27FC236}">
                <a16:creationId xmlns:a16="http://schemas.microsoft.com/office/drawing/2014/main" id="{503A55DC-4516-4AF7-BBC6-C066D7D9EFC3}"/>
              </a:ext>
            </a:extLst>
          </xdr:cNvPr>
          <xdr:cNvCxnSpPr/>
        </xdr:nvCxnSpPr>
        <xdr:spPr>
          <a:xfrm flipV="1">
            <a:off x="10919581" y="960157"/>
            <a:ext cx="690823" cy="10866"/>
          </a:xfrm>
          <a:prstGeom prst="line">
            <a:avLst/>
          </a:prstGeom>
          <a:ln w="19050" cap="flat" cmpd="sng" algn="ctr">
            <a:solidFill>
              <a:schemeClr val="bg2">
                <a:lumMod val="50000"/>
              </a:schemeClr>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xnSp macro="">
        <xdr:nvCxnSpPr>
          <xdr:cNvPr id="13" name="Straight Arrow Connector 12">
            <a:extLst>
              <a:ext uri="{FF2B5EF4-FFF2-40B4-BE49-F238E27FC236}">
                <a16:creationId xmlns:a16="http://schemas.microsoft.com/office/drawing/2014/main" id="{7F5C57C3-572F-4EFF-AAB0-B57D941CC11D}"/>
              </a:ext>
            </a:extLst>
          </xdr:cNvPr>
          <xdr:cNvCxnSpPr/>
        </xdr:nvCxnSpPr>
        <xdr:spPr>
          <a:xfrm flipV="1">
            <a:off x="4814157" y="2697221"/>
            <a:ext cx="0" cy="421266"/>
          </a:xfrm>
          <a:prstGeom prst="straightConnector1">
            <a:avLst/>
          </a:prstGeom>
          <a:ln w="28575">
            <a:solidFill>
              <a:schemeClr val="bg1">
                <a:lumMod val="50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4" name="Straight Arrow Connector 13">
            <a:extLst>
              <a:ext uri="{FF2B5EF4-FFF2-40B4-BE49-F238E27FC236}">
                <a16:creationId xmlns:a16="http://schemas.microsoft.com/office/drawing/2014/main" id="{6531DCBA-044E-4506-A48D-746E83E2F333}"/>
              </a:ext>
            </a:extLst>
          </xdr:cNvPr>
          <xdr:cNvCxnSpPr/>
        </xdr:nvCxnSpPr>
        <xdr:spPr>
          <a:xfrm flipH="1" flipV="1">
            <a:off x="6647241" y="2280370"/>
            <a:ext cx="3947" cy="426744"/>
          </a:xfrm>
          <a:prstGeom prst="straightConnector1">
            <a:avLst/>
          </a:prstGeom>
          <a:ln w="28575">
            <a:solidFill>
              <a:schemeClr val="bg1">
                <a:lumMod val="50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43" name="Straight Arrow Connector 14">
            <a:extLst>
              <a:ext uri="{FF2B5EF4-FFF2-40B4-BE49-F238E27FC236}">
                <a16:creationId xmlns:a16="http://schemas.microsoft.com/office/drawing/2014/main" id="{AC1F53B3-FC91-4CD5-A89B-A0C06B54E7BC}"/>
              </a:ext>
            </a:extLst>
          </xdr:cNvPr>
          <xdr:cNvCxnSpPr/>
        </xdr:nvCxnSpPr>
        <xdr:spPr>
          <a:xfrm flipV="1">
            <a:off x="10929343" y="971023"/>
            <a:ext cx="0" cy="1687788"/>
          </a:xfrm>
          <a:prstGeom prst="straightConnector1">
            <a:avLst/>
          </a:prstGeom>
          <a:ln w="28575">
            <a:solidFill>
              <a:schemeClr val="accent3">
                <a:lumMod val="7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grpSp>
        <xdr:nvGrpSpPr>
          <xdr:cNvPr id="19" name="Group 18">
            <a:extLst>
              <a:ext uri="{FF2B5EF4-FFF2-40B4-BE49-F238E27FC236}">
                <a16:creationId xmlns:a16="http://schemas.microsoft.com/office/drawing/2014/main" id="{DE351ABB-A87C-4852-8763-AF81307C5182}"/>
              </a:ext>
            </a:extLst>
          </xdr:cNvPr>
          <xdr:cNvGrpSpPr/>
        </xdr:nvGrpSpPr>
        <xdr:grpSpPr>
          <a:xfrm>
            <a:off x="6092602" y="2179358"/>
            <a:ext cx="271455" cy="393605"/>
            <a:chOff x="1326896" y="2231505"/>
            <a:chExt cx="634169" cy="794606"/>
          </a:xfrm>
        </xdr:grpSpPr>
        <xdr:sp macro="" textlink="">
          <xdr:nvSpPr>
            <xdr:cNvPr id="20" name="Oval 19">
              <a:extLst>
                <a:ext uri="{FF2B5EF4-FFF2-40B4-BE49-F238E27FC236}">
                  <a16:creationId xmlns:a16="http://schemas.microsoft.com/office/drawing/2014/main" id="{3270DC34-C842-4934-959E-B816427501CC}"/>
                </a:ext>
              </a:extLst>
            </xdr:cNvPr>
            <xdr:cNvSpPr/>
          </xdr:nvSpPr>
          <xdr:spPr>
            <a:xfrm>
              <a:off x="1326896" y="2231505"/>
              <a:ext cx="634169" cy="609993"/>
            </a:xfrm>
            <a:prstGeom prst="ellipse">
              <a:avLst/>
            </a:prstGeom>
            <a:solidFill>
              <a:schemeClr val="accent4">
                <a:lumMod val="40000"/>
                <a:lumOff val="60000"/>
              </a:schemeClr>
            </a:solidFill>
            <a:ln w="9525">
              <a:solidFill>
                <a:schemeClr val="bg1">
                  <a:lumMod val="50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cxnSp macro="">
          <xdr:nvCxnSpPr>
            <xdr:cNvPr id="21" name="Straight Arrow Connector 20">
              <a:extLst>
                <a:ext uri="{FF2B5EF4-FFF2-40B4-BE49-F238E27FC236}">
                  <a16:creationId xmlns:a16="http://schemas.microsoft.com/office/drawing/2014/main" id="{5B3EDD8C-64F5-43FA-A7D3-39C647A65C51}"/>
                </a:ext>
              </a:extLst>
            </xdr:cNvPr>
            <xdr:cNvCxnSpPr>
              <a:cxnSpLocks/>
              <a:endCxn id="20" idx="5"/>
            </xdr:cNvCxnSpPr>
          </xdr:nvCxnSpPr>
          <xdr:spPr>
            <a:xfrm>
              <a:off x="1642013" y="2550063"/>
              <a:ext cx="226180" cy="202104"/>
            </a:xfrm>
            <a:prstGeom prst="straightConnector1">
              <a:avLst/>
            </a:prstGeom>
            <a:ln w="12700">
              <a:solidFill>
                <a:schemeClr val="tx1">
                  <a:lumMod val="95000"/>
                  <a:lumOff val="5000"/>
                </a:schemeClr>
              </a:solidFill>
              <a:bevel/>
              <a:headEnd type="none" w="sm" len="lg"/>
              <a:tailEnd type="triangle" w="sm" len="sm"/>
            </a:ln>
          </xdr:spPr>
          <xdr:style>
            <a:lnRef idx="1">
              <a:schemeClr val="accent1"/>
            </a:lnRef>
            <a:fillRef idx="0">
              <a:schemeClr val="accent1"/>
            </a:fillRef>
            <a:effectRef idx="0">
              <a:schemeClr val="accent1"/>
            </a:effectRef>
            <a:fontRef idx="minor">
              <a:schemeClr val="tx1"/>
            </a:fontRef>
          </xdr:style>
        </xdr:cxnSp>
        <xdr:cxnSp macro="">
          <xdr:nvCxnSpPr>
            <xdr:cNvPr id="22" name="Straight Connector 21">
              <a:extLst>
                <a:ext uri="{FF2B5EF4-FFF2-40B4-BE49-F238E27FC236}">
                  <a16:creationId xmlns:a16="http://schemas.microsoft.com/office/drawing/2014/main" id="{79117DB3-753A-4CD8-9865-BEA08289FDB0}"/>
                </a:ext>
              </a:extLst>
            </xdr:cNvPr>
            <xdr:cNvCxnSpPr/>
          </xdr:nvCxnSpPr>
          <xdr:spPr>
            <a:xfrm>
              <a:off x="1665521" y="2858254"/>
              <a:ext cx="0" cy="167857"/>
            </a:xfrm>
            <a:prstGeom prst="line">
              <a:avLst/>
            </a:prstGeom>
            <a:ln w="3810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grpSp>
      <xdr:grpSp>
        <xdr:nvGrpSpPr>
          <xdr:cNvPr id="23" name="Group 22">
            <a:extLst>
              <a:ext uri="{FF2B5EF4-FFF2-40B4-BE49-F238E27FC236}">
                <a16:creationId xmlns:a16="http://schemas.microsoft.com/office/drawing/2014/main" id="{134C0781-542A-40C1-9472-1DD97584125C}"/>
              </a:ext>
            </a:extLst>
          </xdr:cNvPr>
          <xdr:cNvGrpSpPr/>
        </xdr:nvGrpSpPr>
        <xdr:grpSpPr>
          <a:xfrm>
            <a:off x="8617414" y="1891436"/>
            <a:ext cx="275915" cy="391989"/>
            <a:chOff x="1326896" y="2231505"/>
            <a:chExt cx="634169" cy="794606"/>
          </a:xfrm>
        </xdr:grpSpPr>
        <xdr:sp macro="" textlink="">
          <xdr:nvSpPr>
            <xdr:cNvPr id="24" name="Oval 23">
              <a:extLst>
                <a:ext uri="{FF2B5EF4-FFF2-40B4-BE49-F238E27FC236}">
                  <a16:creationId xmlns:a16="http://schemas.microsoft.com/office/drawing/2014/main" id="{C8BC53B7-88AB-419A-B960-99025DAA43AC}"/>
                </a:ext>
              </a:extLst>
            </xdr:cNvPr>
            <xdr:cNvSpPr/>
          </xdr:nvSpPr>
          <xdr:spPr>
            <a:xfrm>
              <a:off x="1326896" y="2231505"/>
              <a:ext cx="634169" cy="609993"/>
            </a:xfrm>
            <a:prstGeom prst="ellipse">
              <a:avLst/>
            </a:prstGeom>
            <a:solidFill>
              <a:schemeClr val="accent4">
                <a:lumMod val="40000"/>
                <a:lumOff val="60000"/>
              </a:schemeClr>
            </a:solidFill>
            <a:ln w="9525">
              <a:solidFill>
                <a:schemeClr val="bg1">
                  <a:lumMod val="50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cxnSp macro="">
          <xdr:nvCxnSpPr>
            <xdr:cNvPr id="25" name="Straight Arrow Connector 24">
              <a:extLst>
                <a:ext uri="{FF2B5EF4-FFF2-40B4-BE49-F238E27FC236}">
                  <a16:creationId xmlns:a16="http://schemas.microsoft.com/office/drawing/2014/main" id="{3B51019E-85B2-44CF-9B3C-F3420E221A66}"/>
                </a:ext>
              </a:extLst>
            </xdr:cNvPr>
            <xdr:cNvCxnSpPr>
              <a:cxnSpLocks/>
              <a:endCxn id="24" idx="5"/>
            </xdr:cNvCxnSpPr>
          </xdr:nvCxnSpPr>
          <xdr:spPr>
            <a:xfrm>
              <a:off x="1642013" y="2550063"/>
              <a:ext cx="226180" cy="202104"/>
            </a:xfrm>
            <a:prstGeom prst="straightConnector1">
              <a:avLst/>
            </a:prstGeom>
            <a:ln w="12700">
              <a:solidFill>
                <a:schemeClr val="tx1">
                  <a:lumMod val="95000"/>
                  <a:lumOff val="5000"/>
                </a:schemeClr>
              </a:solidFill>
              <a:bevel/>
              <a:headEnd type="none" w="sm" len="lg"/>
              <a:tailEnd type="triangle" w="sm" len="sm"/>
            </a:ln>
          </xdr:spPr>
          <xdr:style>
            <a:lnRef idx="1">
              <a:schemeClr val="accent1"/>
            </a:lnRef>
            <a:fillRef idx="0">
              <a:schemeClr val="accent1"/>
            </a:fillRef>
            <a:effectRef idx="0">
              <a:schemeClr val="accent1"/>
            </a:effectRef>
            <a:fontRef idx="minor">
              <a:schemeClr val="tx1"/>
            </a:fontRef>
          </xdr:style>
        </xdr:cxnSp>
        <xdr:cxnSp macro="">
          <xdr:nvCxnSpPr>
            <xdr:cNvPr id="26" name="Straight Connector 25">
              <a:extLst>
                <a:ext uri="{FF2B5EF4-FFF2-40B4-BE49-F238E27FC236}">
                  <a16:creationId xmlns:a16="http://schemas.microsoft.com/office/drawing/2014/main" id="{9D1CA4BF-C447-404E-9165-AB5D97C1861A}"/>
                </a:ext>
              </a:extLst>
            </xdr:cNvPr>
            <xdr:cNvCxnSpPr/>
          </xdr:nvCxnSpPr>
          <xdr:spPr>
            <a:xfrm>
              <a:off x="1665521" y="2858254"/>
              <a:ext cx="0" cy="167857"/>
            </a:xfrm>
            <a:prstGeom prst="line">
              <a:avLst/>
            </a:prstGeom>
            <a:ln w="3810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grpSp>
      <xdr:grpSp>
        <xdr:nvGrpSpPr>
          <xdr:cNvPr id="27" name="Group 26">
            <a:extLst>
              <a:ext uri="{FF2B5EF4-FFF2-40B4-BE49-F238E27FC236}">
                <a16:creationId xmlns:a16="http://schemas.microsoft.com/office/drawing/2014/main" id="{4F9CC36A-56B8-4E65-80DF-9019EAFBD835}"/>
              </a:ext>
            </a:extLst>
          </xdr:cNvPr>
          <xdr:cNvGrpSpPr/>
        </xdr:nvGrpSpPr>
        <xdr:grpSpPr>
          <a:xfrm>
            <a:off x="11234384" y="605174"/>
            <a:ext cx="260381" cy="353569"/>
            <a:chOff x="1326896" y="2231505"/>
            <a:chExt cx="634169" cy="794606"/>
          </a:xfrm>
        </xdr:grpSpPr>
        <xdr:sp macro="" textlink="">
          <xdr:nvSpPr>
            <xdr:cNvPr id="28" name="Oval 27">
              <a:extLst>
                <a:ext uri="{FF2B5EF4-FFF2-40B4-BE49-F238E27FC236}">
                  <a16:creationId xmlns:a16="http://schemas.microsoft.com/office/drawing/2014/main" id="{FA6EE5DD-9F24-4A83-AE8D-EF33A75DF09D}"/>
                </a:ext>
              </a:extLst>
            </xdr:cNvPr>
            <xdr:cNvSpPr/>
          </xdr:nvSpPr>
          <xdr:spPr>
            <a:xfrm>
              <a:off x="1326896" y="2231505"/>
              <a:ext cx="634169" cy="609993"/>
            </a:xfrm>
            <a:prstGeom prst="ellipse">
              <a:avLst/>
            </a:prstGeom>
            <a:solidFill>
              <a:schemeClr val="accent4">
                <a:lumMod val="40000"/>
                <a:lumOff val="60000"/>
              </a:schemeClr>
            </a:solidFill>
            <a:ln w="9525">
              <a:solidFill>
                <a:schemeClr val="bg1">
                  <a:lumMod val="50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cxnSp macro="">
          <xdr:nvCxnSpPr>
            <xdr:cNvPr id="29" name="Straight Arrow Connector 28">
              <a:extLst>
                <a:ext uri="{FF2B5EF4-FFF2-40B4-BE49-F238E27FC236}">
                  <a16:creationId xmlns:a16="http://schemas.microsoft.com/office/drawing/2014/main" id="{567C7880-7DB9-4DD4-B94E-D1B524E22FC4}"/>
                </a:ext>
              </a:extLst>
            </xdr:cNvPr>
            <xdr:cNvCxnSpPr>
              <a:cxnSpLocks/>
              <a:endCxn id="28" idx="5"/>
            </xdr:cNvCxnSpPr>
          </xdr:nvCxnSpPr>
          <xdr:spPr>
            <a:xfrm>
              <a:off x="1642013" y="2550063"/>
              <a:ext cx="226180" cy="202104"/>
            </a:xfrm>
            <a:prstGeom prst="straightConnector1">
              <a:avLst/>
            </a:prstGeom>
            <a:ln w="12700">
              <a:solidFill>
                <a:schemeClr val="tx1">
                  <a:lumMod val="95000"/>
                  <a:lumOff val="5000"/>
                </a:schemeClr>
              </a:solidFill>
              <a:bevel/>
              <a:headEnd type="none" w="sm" len="lg"/>
              <a:tailEnd type="triangle" w="sm" len="sm"/>
            </a:ln>
          </xdr:spPr>
          <xdr:style>
            <a:lnRef idx="1">
              <a:schemeClr val="accent1"/>
            </a:lnRef>
            <a:fillRef idx="0">
              <a:schemeClr val="accent1"/>
            </a:fillRef>
            <a:effectRef idx="0">
              <a:schemeClr val="accent1"/>
            </a:effectRef>
            <a:fontRef idx="minor">
              <a:schemeClr val="tx1"/>
            </a:fontRef>
          </xdr:style>
        </xdr:cxnSp>
        <xdr:cxnSp macro="">
          <xdr:nvCxnSpPr>
            <xdr:cNvPr id="30" name="Straight Connector 29">
              <a:extLst>
                <a:ext uri="{FF2B5EF4-FFF2-40B4-BE49-F238E27FC236}">
                  <a16:creationId xmlns:a16="http://schemas.microsoft.com/office/drawing/2014/main" id="{2B5D0CD2-77F7-47F4-AFE8-29AF2CB1030F}"/>
                </a:ext>
              </a:extLst>
            </xdr:cNvPr>
            <xdr:cNvCxnSpPr/>
          </xdr:nvCxnSpPr>
          <xdr:spPr>
            <a:xfrm>
              <a:off x="1665521" y="2858254"/>
              <a:ext cx="0" cy="167857"/>
            </a:xfrm>
            <a:prstGeom prst="line">
              <a:avLst/>
            </a:prstGeom>
            <a:ln w="3810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31" name="Freeform: Shape 30">
            <a:extLst>
              <a:ext uri="{FF2B5EF4-FFF2-40B4-BE49-F238E27FC236}">
                <a16:creationId xmlns:a16="http://schemas.microsoft.com/office/drawing/2014/main" id="{C576DE9B-2A89-424F-B7E8-85EF9AFEC84E}"/>
              </a:ext>
            </a:extLst>
          </xdr:cNvPr>
          <xdr:cNvSpPr/>
        </xdr:nvSpPr>
        <xdr:spPr>
          <a:xfrm>
            <a:off x="3834486" y="1277473"/>
            <a:ext cx="908465" cy="1555345"/>
          </a:xfrm>
          <a:custGeom>
            <a:avLst/>
            <a:gdLst>
              <a:gd name="connsiteX0" fmla="*/ 0 w 717177"/>
              <a:gd name="connsiteY0" fmla="*/ 0 h 291353"/>
              <a:gd name="connsiteX1" fmla="*/ 168089 w 717177"/>
              <a:gd name="connsiteY1" fmla="*/ 190500 h 291353"/>
              <a:gd name="connsiteX2" fmla="*/ 717177 w 717177"/>
              <a:gd name="connsiteY2" fmla="*/ 291353 h 291353"/>
            </a:gdLst>
            <a:ahLst/>
            <a:cxnLst>
              <a:cxn ang="0">
                <a:pos x="connsiteX0" y="connsiteY0"/>
              </a:cxn>
              <a:cxn ang="0">
                <a:pos x="connsiteX1" y="connsiteY1"/>
              </a:cxn>
              <a:cxn ang="0">
                <a:pos x="connsiteX2" y="connsiteY2"/>
              </a:cxn>
            </a:cxnLst>
            <a:rect l="l" t="t" r="r" b="b"/>
            <a:pathLst>
              <a:path w="717177" h="291353">
                <a:moveTo>
                  <a:pt x="0" y="0"/>
                </a:moveTo>
                <a:cubicBezTo>
                  <a:pt x="24280" y="70970"/>
                  <a:pt x="48560" y="141941"/>
                  <a:pt x="168089" y="190500"/>
                </a:cubicBezTo>
                <a:cubicBezTo>
                  <a:pt x="287619" y="239059"/>
                  <a:pt x="502398" y="265206"/>
                  <a:pt x="717177" y="291353"/>
                </a:cubicBezTo>
              </a:path>
            </a:pathLst>
          </a:custGeom>
          <a:noFill/>
          <a:ln>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32" name="Freeform: Shape 31">
            <a:extLst>
              <a:ext uri="{FF2B5EF4-FFF2-40B4-BE49-F238E27FC236}">
                <a16:creationId xmlns:a16="http://schemas.microsoft.com/office/drawing/2014/main" id="{9F651ED7-7EFD-4967-900B-ECD2FDFE8B4D}"/>
              </a:ext>
            </a:extLst>
          </xdr:cNvPr>
          <xdr:cNvSpPr/>
        </xdr:nvSpPr>
        <xdr:spPr>
          <a:xfrm flipH="1">
            <a:off x="6726983" y="1248743"/>
            <a:ext cx="300907" cy="1286637"/>
          </a:xfrm>
          <a:custGeom>
            <a:avLst/>
            <a:gdLst>
              <a:gd name="connsiteX0" fmla="*/ 0 w 717177"/>
              <a:gd name="connsiteY0" fmla="*/ 0 h 291353"/>
              <a:gd name="connsiteX1" fmla="*/ 168089 w 717177"/>
              <a:gd name="connsiteY1" fmla="*/ 190500 h 291353"/>
              <a:gd name="connsiteX2" fmla="*/ 717177 w 717177"/>
              <a:gd name="connsiteY2" fmla="*/ 291353 h 291353"/>
            </a:gdLst>
            <a:ahLst/>
            <a:cxnLst>
              <a:cxn ang="0">
                <a:pos x="connsiteX0" y="connsiteY0"/>
              </a:cxn>
              <a:cxn ang="0">
                <a:pos x="connsiteX1" y="connsiteY1"/>
              </a:cxn>
              <a:cxn ang="0">
                <a:pos x="connsiteX2" y="connsiteY2"/>
              </a:cxn>
            </a:cxnLst>
            <a:rect l="l" t="t" r="r" b="b"/>
            <a:pathLst>
              <a:path w="717177" h="291353">
                <a:moveTo>
                  <a:pt x="0" y="0"/>
                </a:moveTo>
                <a:cubicBezTo>
                  <a:pt x="24280" y="70970"/>
                  <a:pt x="48560" y="141941"/>
                  <a:pt x="168089" y="190500"/>
                </a:cubicBezTo>
                <a:cubicBezTo>
                  <a:pt x="287619" y="239059"/>
                  <a:pt x="502398" y="265206"/>
                  <a:pt x="717177" y="291353"/>
                </a:cubicBezTo>
              </a:path>
            </a:pathLst>
          </a:custGeom>
          <a:noFill/>
          <a:ln>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33" name="Freeform: Shape 32">
            <a:extLst>
              <a:ext uri="{FF2B5EF4-FFF2-40B4-BE49-F238E27FC236}">
                <a16:creationId xmlns:a16="http://schemas.microsoft.com/office/drawing/2014/main" id="{AC9C4116-BB5F-46FB-86FC-F1A4B6875E24}"/>
              </a:ext>
            </a:extLst>
          </xdr:cNvPr>
          <xdr:cNvSpPr/>
        </xdr:nvSpPr>
        <xdr:spPr>
          <a:xfrm rot="16371399">
            <a:off x="5192967" y="2772095"/>
            <a:ext cx="706193" cy="699666"/>
          </a:xfrm>
          <a:custGeom>
            <a:avLst/>
            <a:gdLst>
              <a:gd name="connsiteX0" fmla="*/ 0 w 4066859"/>
              <a:gd name="connsiteY0" fmla="*/ 369794 h 856510"/>
              <a:gd name="connsiteX1" fmla="*/ 414617 w 4066859"/>
              <a:gd name="connsiteY1" fmla="*/ 381000 h 856510"/>
              <a:gd name="connsiteX2" fmla="*/ 470647 w 4066859"/>
              <a:gd name="connsiteY2" fmla="*/ 784412 h 856510"/>
              <a:gd name="connsiteX3" fmla="*/ 1120588 w 4066859"/>
              <a:gd name="connsiteY3" fmla="*/ 806823 h 856510"/>
              <a:gd name="connsiteX4" fmla="*/ 3821206 w 4066859"/>
              <a:gd name="connsiteY4" fmla="*/ 268941 h 856510"/>
              <a:gd name="connsiteX5" fmla="*/ 3776382 w 4066859"/>
              <a:gd name="connsiteY5" fmla="*/ 0 h 856510"/>
              <a:gd name="connsiteX0" fmla="*/ 0 w 4066859"/>
              <a:gd name="connsiteY0" fmla="*/ 369794 h 867391"/>
              <a:gd name="connsiteX1" fmla="*/ 414617 w 4066859"/>
              <a:gd name="connsiteY1" fmla="*/ 381000 h 867391"/>
              <a:gd name="connsiteX2" fmla="*/ 470647 w 4066859"/>
              <a:gd name="connsiteY2" fmla="*/ 784412 h 867391"/>
              <a:gd name="connsiteX3" fmla="*/ 1120588 w 4066859"/>
              <a:gd name="connsiteY3" fmla="*/ 806823 h 867391"/>
              <a:gd name="connsiteX4" fmla="*/ 3821206 w 4066859"/>
              <a:gd name="connsiteY4" fmla="*/ 268941 h 867391"/>
              <a:gd name="connsiteX5" fmla="*/ 3776382 w 4066859"/>
              <a:gd name="connsiteY5" fmla="*/ 0 h 867391"/>
              <a:gd name="connsiteX0" fmla="*/ 0 w 4066859"/>
              <a:gd name="connsiteY0" fmla="*/ 369794 h 856510"/>
              <a:gd name="connsiteX1" fmla="*/ 414617 w 4066859"/>
              <a:gd name="connsiteY1" fmla="*/ 381000 h 856510"/>
              <a:gd name="connsiteX2" fmla="*/ 470647 w 4066859"/>
              <a:gd name="connsiteY2" fmla="*/ 784412 h 856510"/>
              <a:gd name="connsiteX3" fmla="*/ 1120588 w 4066859"/>
              <a:gd name="connsiteY3" fmla="*/ 806823 h 856510"/>
              <a:gd name="connsiteX4" fmla="*/ 3821206 w 4066859"/>
              <a:gd name="connsiteY4" fmla="*/ 268941 h 856510"/>
              <a:gd name="connsiteX5" fmla="*/ 3776382 w 4066859"/>
              <a:gd name="connsiteY5" fmla="*/ 0 h 856510"/>
              <a:gd name="connsiteX0" fmla="*/ 0 w 3899203"/>
              <a:gd name="connsiteY0" fmla="*/ 369794 h 856510"/>
              <a:gd name="connsiteX1" fmla="*/ 414617 w 3899203"/>
              <a:gd name="connsiteY1" fmla="*/ 381000 h 856510"/>
              <a:gd name="connsiteX2" fmla="*/ 470647 w 3899203"/>
              <a:gd name="connsiteY2" fmla="*/ 784412 h 856510"/>
              <a:gd name="connsiteX3" fmla="*/ 1120588 w 3899203"/>
              <a:gd name="connsiteY3" fmla="*/ 806823 h 856510"/>
              <a:gd name="connsiteX4" fmla="*/ 3821206 w 3899203"/>
              <a:gd name="connsiteY4" fmla="*/ 268941 h 856510"/>
              <a:gd name="connsiteX5" fmla="*/ 3776382 w 3899203"/>
              <a:gd name="connsiteY5" fmla="*/ 0 h 856510"/>
              <a:gd name="connsiteX0" fmla="*/ 0 w 3821619"/>
              <a:gd name="connsiteY0" fmla="*/ 369794 h 856510"/>
              <a:gd name="connsiteX1" fmla="*/ 414617 w 3821619"/>
              <a:gd name="connsiteY1" fmla="*/ 381000 h 856510"/>
              <a:gd name="connsiteX2" fmla="*/ 470647 w 3821619"/>
              <a:gd name="connsiteY2" fmla="*/ 784412 h 856510"/>
              <a:gd name="connsiteX3" fmla="*/ 1120588 w 3821619"/>
              <a:gd name="connsiteY3" fmla="*/ 806823 h 856510"/>
              <a:gd name="connsiteX4" fmla="*/ 3821206 w 3821619"/>
              <a:gd name="connsiteY4" fmla="*/ 268941 h 856510"/>
              <a:gd name="connsiteX5" fmla="*/ 3776382 w 3821619"/>
              <a:gd name="connsiteY5" fmla="*/ 0 h 856510"/>
              <a:gd name="connsiteX0" fmla="*/ 0 w 3778354"/>
              <a:gd name="connsiteY0" fmla="*/ 369794 h 856510"/>
              <a:gd name="connsiteX1" fmla="*/ 414617 w 3778354"/>
              <a:gd name="connsiteY1" fmla="*/ 381000 h 856510"/>
              <a:gd name="connsiteX2" fmla="*/ 470647 w 3778354"/>
              <a:gd name="connsiteY2" fmla="*/ 784412 h 856510"/>
              <a:gd name="connsiteX3" fmla="*/ 1120588 w 3778354"/>
              <a:gd name="connsiteY3" fmla="*/ 806823 h 856510"/>
              <a:gd name="connsiteX4" fmla="*/ 3776382 w 3778354"/>
              <a:gd name="connsiteY4" fmla="*/ 268941 h 856510"/>
              <a:gd name="connsiteX5" fmla="*/ 3776382 w 3778354"/>
              <a:gd name="connsiteY5" fmla="*/ 0 h 856510"/>
              <a:gd name="connsiteX0" fmla="*/ 0 w 3778354"/>
              <a:gd name="connsiteY0" fmla="*/ 369794 h 856510"/>
              <a:gd name="connsiteX1" fmla="*/ 414617 w 3778354"/>
              <a:gd name="connsiteY1" fmla="*/ 381000 h 856510"/>
              <a:gd name="connsiteX2" fmla="*/ 470647 w 3778354"/>
              <a:gd name="connsiteY2" fmla="*/ 784412 h 856510"/>
              <a:gd name="connsiteX3" fmla="*/ 1120588 w 3778354"/>
              <a:gd name="connsiteY3" fmla="*/ 806823 h 856510"/>
              <a:gd name="connsiteX4" fmla="*/ 3776382 w 3778354"/>
              <a:gd name="connsiteY4" fmla="*/ 268941 h 856510"/>
              <a:gd name="connsiteX5" fmla="*/ 3776382 w 3778354"/>
              <a:gd name="connsiteY5" fmla="*/ 0 h 856510"/>
              <a:gd name="connsiteX0" fmla="*/ 833 w 3779187"/>
              <a:gd name="connsiteY0" fmla="*/ 369794 h 856510"/>
              <a:gd name="connsiteX1" fmla="*/ 415450 w 3779187"/>
              <a:gd name="connsiteY1" fmla="*/ 381000 h 856510"/>
              <a:gd name="connsiteX2" fmla="*/ 471480 w 3779187"/>
              <a:gd name="connsiteY2" fmla="*/ 784412 h 856510"/>
              <a:gd name="connsiteX3" fmla="*/ 1121421 w 3779187"/>
              <a:gd name="connsiteY3" fmla="*/ 806823 h 856510"/>
              <a:gd name="connsiteX4" fmla="*/ 3777215 w 3779187"/>
              <a:gd name="connsiteY4" fmla="*/ 268941 h 856510"/>
              <a:gd name="connsiteX5" fmla="*/ 3777215 w 3779187"/>
              <a:gd name="connsiteY5" fmla="*/ 0 h 856510"/>
              <a:gd name="connsiteX0" fmla="*/ 1001 w 3779355"/>
              <a:gd name="connsiteY0" fmla="*/ 369794 h 867257"/>
              <a:gd name="connsiteX1" fmla="*/ 415618 w 3779355"/>
              <a:gd name="connsiteY1" fmla="*/ 381000 h 867257"/>
              <a:gd name="connsiteX2" fmla="*/ 460442 w 3779355"/>
              <a:gd name="connsiteY2" fmla="*/ 806824 h 867257"/>
              <a:gd name="connsiteX3" fmla="*/ 1121589 w 3779355"/>
              <a:gd name="connsiteY3" fmla="*/ 806823 h 867257"/>
              <a:gd name="connsiteX4" fmla="*/ 3777383 w 3779355"/>
              <a:gd name="connsiteY4" fmla="*/ 268941 h 867257"/>
              <a:gd name="connsiteX5" fmla="*/ 3777383 w 3779355"/>
              <a:gd name="connsiteY5" fmla="*/ 0 h 867257"/>
              <a:gd name="connsiteX0" fmla="*/ 1001 w 3779355"/>
              <a:gd name="connsiteY0" fmla="*/ 369794 h 873360"/>
              <a:gd name="connsiteX1" fmla="*/ 415618 w 3779355"/>
              <a:gd name="connsiteY1" fmla="*/ 381000 h 873360"/>
              <a:gd name="connsiteX2" fmla="*/ 460442 w 3779355"/>
              <a:gd name="connsiteY2" fmla="*/ 818030 h 873360"/>
              <a:gd name="connsiteX3" fmla="*/ 1121589 w 3779355"/>
              <a:gd name="connsiteY3" fmla="*/ 806823 h 873360"/>
              <a:gd name="connsiteX4" fmla="*/ 3777383 w 3779355"/>
              <a:gd name="connsiteY4" fmla="*/ 268941 h 873360"/>
              <a:gd name="connsiteX5" fmla="*/ 3777383 w 3779355"/>
              <a:gd name="connsiteY5" fmla="*/ 0 h 873360"/>
              <a:gd name="connsiteX0" fmla="*/ 1001 w 3779355"/>
              <a:gd name="connsiteY0" fmla="*/ 369794 h 851574"/>
              <a:gd name="connsiteX1" fmla="*/ 415618 w 3779355"/>
              <a:gd name="connsiteY1" fmla="*/ 381000 h 851574"/>
              <a:gd name="connsiteX2" fmla="*/ 460442 w 3779355"/>
              <a:gd name="connsiteY2" fmla="*/ 818030 h 851574"/>
              <a:gd name="connsiteX3" fmla="*/ 1121589 w 3779355"/>
              <a:gd name="connsiteY3" fmla="*/ 806823 h 851574"/>
              <a:gd name="connsiteX4" fmla="*/ 3777383 w 3779355"/>
              <a:gd name="connsiteY4" fmla="*/ 268941 h 851574"/>
              <a:gd name="connsiteX5" fmla="*/ 3777383 w 3779355"/>
              <a:gd name="connsiteY5" fmla="*/ 0 h 851574"/>
              <a:gd name="connsiteX0" fmla="*/ 873 w 3779227"/>
              <a:gd name="connsiteY0" fmla="*/ 369794 h 851574"/>
              <a:gd name="connsiteX1" fmla="*/ 415490 w 3779227"/>
              <a:gd name="connsiteY1" fmla="*/ 381000 h 851574"/>
              <a:gd name="connsiteX2" fmla="*/ 460314 w 3779227"/>
              <a:gd name="connsiteY2" fmla="*/ 818030 h 851574"/>
              <a:gd name="connsiteX3" fmla="*/ 1121461 w 3779227"/>
              <a:gd name="connsiteY3" fmla="*/ 806823 h 851574"/>
              <a:gd name="connsiteX4" fmla="*/ 3777255 w 3779227"/>
              <a:gd name="connsiteY4" fmla="*/ 268941 h 851574"/>
              <a:gd name="connsiteX5" fmla="*/ 3777255 w 3779227"/>
              <a:gd name="connsiteY5" fmla="*/ 0 h 851574"/>
              <a:gd name="connsiteX0" fmla="*/ 873 w 3779227"/>
              <a:gd name="connsiteY0" fmla="*/ 369794 h 822944"/>
              <a:gd name="connsiteX1" fmla="*/ 415490 w 3779227"/>
              <a:gd name="connsiteY1" fmla="*/ 381000 h 822944"/>
              <a:gd name="connsiteX2" fmla="*/ 460314 w 3779227"/>
              <a:gd name="connsiteY2" fmla="*/ 818030 h 822944"/>
              <a:gd name="connsiteX3" fmla="*/ 1121461 w 3779227"/>
              <a:gd name="connsiteY3" fmla="*/ 806823 h 822944"/>
              <a:gd name="connsiteX4" fmla="*/ 3777255 w 3779227"/>
              <a:gd name="connsiteY4" fmla="*/ 268941 h 822944"/>
              <a:gd name="connsiteX5" fmla="*/ 3777255 w 3779227"/>
              <a:gd name="connsiteY5" fmla="*/ 0 h 822944"/>
              <a:gd name="connsiteX0" fmla="*/ 873 w 3779227"/>
              <a:gd name="connsiteY0" fmla="*/ 369794 h 854644"/>
              <a:gd name="connsiteX1" fmla="*/ 415490 w 3779227"/>
              <a:gd name="connsiteY1" fmla="*/ 347382 h 854644"/>
              <a:gd name="connsiteX2" fmla="*/ 460314 w 3779227"/>
              <a:gd name="connsiteY2" fmla="*/ 818030 h 854644"/>
              <a:gd name="connsiteX3" fmla="*/ 1121461 w 3779227"/>
              <a:gd name="connsiteY3" fmla="*/ 806823 h 854644"/>
              <a:gd name="connsiteX4" fmla="*/ 3777255 w 3779227"/>
              <a:gd name="connsiteY4" fmla="*/ 268941 h 854644"/>
              <a:gd name="connsiteX5" fmla="*/ 3777255 w 3779227"/>
              <a:gd name="connsiteY5" fmla="*/ 0 h 854644"/>
              <a:gd name="connsiteX0" fmla="*/ 873 w 3779227"/>
              <a:gd name="connsiteY0" fmla="*/ 369794 h 818294"/>
              <a:gd name="connsiteX1" fmla="*/ 415490 w 3779227"/>
              <a:gd name="connsiteY1" fmla="*/ 347382 h 818294"/>
              <a:gd name="connsiteX2" fmla="*/ 460314 w 3779227"/>
              <a:gd name="connsiteY2" fmla="*/ 818030 h 818294"/>
              <a:gd name="connsiteX3" fmla="*/ 1121461 w 3779227"/>
              <a:gd name="connsiteY3" fmla="*/ 806823 h 818294"/>
              <a:gd name="connsiteX4" fmla="*/ 3777255 w 3779227"/>
              <a:gd name="connsiteY4" fmla="*/ 268941 h 818294"/>
              <a:gd name="connsiteX5" fmla="*/ 3777255 w 3779227"/>
              <a:gd name="connsiteY5" fmla="*/ 0 h 818294"/>
              <a:gd name="connsiteX0" fmla="*/ 873 w 3779227"/>
              <a:gd name="connsiteY0" fmla="*/ 369794 h 852988"/>
              <a:gd name="connsiteX1" fmla="*/ 415490 w 3779227"/>
              <a:gd name="connsiteY1" fmla="*/ 369794 h 852988"/>
              <a:gd name="connsiteX2" fmla="*/ 460314 w 3779227"/>
              <a:gd name="connsiteY2" fmla="*/ 818030 h 852988"/>
              <a:gd name="connsiteX3" fmla="*/ 1121461 w 3779227"/>
              <a:gd name="connsiteY3" fmla="*/ 806823 h 852988"/>
              <a:gd name="connsiteX4" fmla="*/ 3777255 w 3779227"/>
              <a:gd name="connsiteY4" fmla="*/ 268941 h 852988"/>
              <a:gd name="connsiteX5" fmla="*/ 3777255 w 3779227"/>
              <a:gd name="connsiteY5" fmla="*/ 0 h 852988"/>
              <a:gd name="connsiteX0" fmla="*/ 873 w 3779227"/>
              <a:gd name="connsiteY0" fmla="*/ 369794 h 819237"/>
              <a:gd name="connsiteX1" fmla="*/ 415490 w 3779227"/>
              <a:gd name="connsiteY1" fmla="*/ 369794 h 819237"/>
              <a:gd name="connsiteX2" fmla="*/ 460314 w 3779227"/>
              <a:gd name="connsiteY2" fmla="*/ 818030 h 819237"/>
              <a:gd name="connsiteX3" fmla="*/ 1121461 w 3779227"/>
              <a:gd name="connsiteY3" fmla="*/ 806823 h 819237"/>
              <a:gd name="connsiteX4" fmla="*/ 3777255 w 3779227"/>
              <a:gd name="connsiteY4" fmla="*/ 268941 h 819237"/>
              <a:gd name="connsiteX5" fmla="*/ 3777255 w 3779227"/>
              <a:gd name="connsiteY5" fmla="*/ 0 h 819237"/>
              <a:gd name="connsiteX0" fmla="*/ 873 w 3779227"/>
              <a:gd name="connsiteY0" fmla="*/ 369794 h 818481"/>
              <a:gd name="connsiteX1" fmla="*/ 415490 w 3779227"/>
              <a:gd name="connsiteY1" fmla="*/ 369794 h 818481"/>
              <a:gd name="connsiteX2" fmla="*/ 460314 w 3779227"/>
              <a:gd name="connsiteY2" fmla="*/ 818030 h 818481"/>
              <a:gd name="connsiteX3" fmla="*/ 1121461 w 3779227"/>
              <a:gd name="connsiteY3" fmla="*/ 806823 h 818481"/>
              <a:gd name="connsiteX4" fmla="*/ 3777255 w 3779227"/>
              <a:gd name="connsiteY4" fmla="*/ 268941 h 818481"/>
              <a:gd name="connsiteX5" fmla="*/ 3777255 w 3779227"/>
              <a:gd name="connsiteY5" fmla="*/ 0 h 818481"/>
              <a:gd name="connsiteX0" fmla="*/ 873 w 3971566"/>
              <a:gd name="connsiteY0" fmla="*/ 460933 h 909620"/>
              <a:gd name="connsiteX1" fmla="*/ 415490 w 3971566"/>
              <a:gd name="connsiteY1" fmla="*/ 460933 h 909620"/>
              <a:gd name="connsiteX2" fmla="*/ 460314 w 3971566"/>
              <a:gd name="connsiteY2" fmla="*/ 909169 h 909620"/>
              <a:gd name="connsiteX3" fmla="*/ 1121461 w 3971566"/>
              <a:gd name="connsiteY3" fmla="*/ 897962 h 909620"/>
              <a:gd name="connsiteX4" fmla="*/ 3777255 w 3971566"/>
              <a:gd name="connsiteY4" fmla="*/ 360080 h 909620"/>
              <a:gd name="connsiteX5" fmla="*/ 3771823 w 3971566"/>
              <a:gd name="connsiteY5" fmla="*/ 0 h 909620"/>
              <a:gd name="connsiteX0" fmla="*/ 873 w 3971566"/>
              <a:gd name="connsiteY0" fmla="*/ 460933 h 909620"/>
              <a:gd name="connsiteX1" fmla="*/ 415490 w 3971566"/>
              <a:gd name="connsiteY1" fmla="*/ 460933 h 909620"/>
              <a:gd name="connsiteX2" fmla="*/ 460314 w 3971566"/>
              <a:gd name="connsiteY2" fmla="*/ 909169 h 909620"/>
              <a:gd name="connsiteX3" fmla="*/ 1121461 w 3971566"/>
              <a:gd name="connsiteY3" fmla="*/ 897962 h 909620"/>
              <a:gd name="connsiteX4" fmla="*/ 3777255 w 3971566"/>
              <a:gd name="connsiteY4" fmla="*/ 360080 h 909620"/>
              <a:gd name="connsiteX5" fmla="*/ 3771823 w 3971566"/>
              <a:gd name="connsiteY5" fmla="*/ 0 h 909620"/>
              <a:gd name="connsiteX0" fmla="*/ 873 w 3777258"/>
              <a:gd name="connsiteY0" fmla="*/ 460933 h 909620"/>
              <a:gd name="connsiteX1" fmla="*/ 415490 w 3777258"/>
              <a:gd name="connsiteY1" fmla="*/ 460933 h 909620"/>
              <a:gd name="connsiteX2" fmla="*/ 460314 w 3777258"/>
              <a:gd name="connsiteY2" fmla="*/ 909169 h 909620"/>
              <a:gd name="connsiteX3" fmla="*/ 1121461 w 3777258"/>
              <a:gd name="connsiteY3" fmla="*/ 897962 h 909620"/>
              <a:gd name="connsiteX4" fmla="*/ 3777255 w 3777258"/>
              <a:gd name="connsiteY4" fmla="*/ 360080 h 909620"/>
              <a:gd name="connsiteX5" fmla="*/ 3771823 w 3777258"/>
              <a:gd name="connsiteY5" fmla="*/ 0 h 909620"/>
              <a:gd name="connsiteX0" fmla="*/ 873 w 3777258"/>
              <a:gd name="connsiteY0" fmla="*/ 460933 h 909620"/>
              <a:gd name="connsiteX1" fmla="*/ 415490 w 3777258"/>
              <a:gd name="connsiteY1" fmla="*/ 460933 h 909620"/>
              <a:gd name="connsiteX2" fmla="*/ 460314 w 3777258"/>
              <a:gd name="connsiteY2" fmla="*/ 909169 h 909620"/>
              <a:gd name="connsiteX3" fmla="*/ 1121461 w 3777258"/>
              <a:gd name="connsiteY3" fmla="*/ 897962 h 909620"/>
              <a:gd name="connsiteX4" fmla="*/ 3777255 w 3777258"/>
              <a:gd name="connsiteY4" fmla="*/ 360080 h 909620"/>
              <a:gd name="connsiteX5" fmla="*/ 3771823 w 3777258"/>
              <a:gd name="connsiteY5" fmla="*/ 0 h 909620"/>
              <a:gd name="connsiteX0" fmla="*/ 873 w 3777258"/>
              <a:gd name="connsiteY0" fmla="*/ 460933 h 910336"/>
              <a:gd name="connsiteX1" fmla="*/ 415490 w 3777258"/>
              <a:gd name="connsiteY1" fmla="*/ 460933 h 910336"/>
              <a:gd name="connsiteX2" fmla="*/ 460314 w 3777258"/>
              <a:gd name="connsiteY2" fmla="*/ 909169 h 910336"/>
              <a:gd name="connsiteX3" fmla="*/ 1121461 w 3777258"/>
              <a:gd name="connsiteY3" fmla="*/ 897962 h 910336"/>
              <a:gd name="connsiteX4" fmla="*/ 3777255 w 3777258"/>
              <a:gd name="connsiteY4" fmla="*/ 360080 h 910336"/>
              <a:gd name="connsiteX5" fmla="*/ 3771823 w 3777258"/>
              <a:gd name="connsiteY5" fmla="*/ 0 h 910336"/>
              <a:gd name="connsiteX0" fmla="*/ 873 w 3777258"/>
              <a:gd name="connsiteY0" fmla="*/ 100853 h 550256"/>
              <a:gd name="connsiteX1" fmla="*/ 415490 w 3777258"/>
              <a:gd name="connsiteY1" fmla="*/ 100853 h 550256"/>
              <a:gd name="connsiteX2" fmla="*/ 460314 w 3777258"/>
              <a:gd name="connsiteY2" fmla="*/ 549089 h 550256"/>
              <a:gd name="connsiteX3" fmla="*/ 1121461 w 3777258"/>
              <a:gd name="connsiteY3" fmla="*/ 537882 h 550256"/>
              <a:gd name="connsiteX4" fmla="*/ 3777255 w 3777258"/>
              <a:gd name="connsiteY4" fmla="*/ 0 h 550256"/>
              <a:gd name="connsiteX0" fmla="*/ 873 w 1121461"/>
              <a:gd name="connsiteY0" fmla="*/ 9820 h 459223"/>
              <a:gd name="connsiteX1" fmla="*/ 415490 w 1121461"/>
              <a:gd name="connsiteY1" fmla="*/ 9820 h 459223"/>
              <a:gd name="connsiteX2" fmla="*/ 460314 w 1121461"/>
              <a:gd name="connsiteY2" fmla="*/ 458056 h 459223"/>
              <a:gd name="connsiteX3" fmla="*/ 1121461 w 1121461"/>
              <a:gd name="connsiteY3" fmla="*/ 446849 h 459223"/>
              <a:gd name="connsiteX0" fmla="*/ 873 w 460314"/>
              <a:gd name="connsiteY0" fmla="*/ 9820 h 459223"/>
              <a:gd name="connsiteX1" fmla="*/ 415490 w 460314"/>
              <a:gd name="connsiteY1" fmla="*/ 9820 h 459223"/>
              <a:gd name="connsiteX2" fmla="*/ 460314 w 460314"/>
              <a:gd name="connsiteY2" fmla="*/ 458056 h 459223"/>
              <a:gd name="connsiteX0" fmla="*/ 854 w 460295"/>
              <a:gd name="connsiteY0" fmla="*/ 1074 h 451276"/>
              <a:gd name="connsiteX1" fmla="*/ 425434 w 460295"/>
              <a:gd name="connsiteY1" fmla="*/ 198723 h 451276"/>
              <a:gd name="connsiteX2" fmla="*/ 460295 w 460295"/>
              <a:gd name="connsiteY2" fmla="*/ 449310 h 451276"/>
              <a:gd name="connsiteX0" fmla="*/ 820 w 563419"/>
              <a:gd name="connsiteY0" fmla="*/ 1298 h 485561"/>
              <a:gd name="connsiteX1" fmla="*/ 512864 w 563419"/>
              <a:gd name="connsiteY1" fmla="*/ 232368 h 485561"/>
              <a:gd name="connsiteX2" fmla="*/ 547725 w 563419"/>
              <a:gd name="connsiteY2" fmla="*/ 482955 h 485561"/>
              <a:gd name="connsiteX0" fmla="*/ 700 w 547605"/>
              <a:gd name="connsiteY0" fmla="*/ 904 h 484474"/>
              <a:gd name="connsiteX1" fmla="*/ 512744 w 547605"/>
              <a:gd name="connsiteY1" fmla="*/ 231974 h 484474"/>
              <a:gd name="connsiteX2" fmla="*/ 547605 w 547605"/>
              <a:gd name="connsiteY2" fmla="*/ 482561 h 484474"/>
              <a:gd name="connsiteX0" fmla="*/ 0 w 546905"/>
              <a:gd name="connsiteY0" fmla="*/ 0 h 483569"/>
              <a:gd name="connsiteX1" fmla="*/ 512044 w 546905"/>
              <a:gd name="connsiteY1" fmla="*/ 231070 h 483569"/>
              <a:gd name="connsiteX2" fmla="*/ 546905 w 546905"/>
              <a:gd name="connsiteY2" fmla="*/ 481657 h 483569"/>
            </a:gdLst>
            <a:ahLst/>
            <a:cxnLst>
              <a:cxn ang="0">
                <a:pos x="connsiteX0" y="connsiteY0"/>
              </a:cxn>
              <a:cxn ang="0">
                <a:pos x="connsiteX1" y="connsiteY1"/>
              </a:cxn>
              <a:cxn ang="0">
                <a:pos x="connsiteX2" y="connsiteY2"/>
              </a:cxn>
            </a:cxnLst>
            <a:rect l="l" t="t" r="r" b="b"/>
            <a:pathLst>
              <a:path w="546905" h="483569">
                <a:moveTo>
                  <a:pt x="0" y="0"/>
                </a:moveTo>
                <a:lnTo>
                  <a:pt x="512044" y="231070"/>
                </a:lnTo>
                <a:cubicBezTo>
                  <a:pt x="522864" y="230397"/>
                  <a:pt x="542328" y="509189"/>
                  <a:pt x="546905" y="481657"/>
                </a:cubicBezTo>
              </a:path>
            </a:pathLst>
          </a:custGeom>
          <a:noFill/>
          <a:ln w="101600">
            <a:solidFill>
              <a:schemeClr val="accent5">
                <a:lumMod val="75000"/>
              </a:schemeClr>
            </a:solidFill>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34" name="Right Brace 33">
            <a:extLst>
              <a:ext uri="{FF2B5EF4-FFF2-40B4-BE49-F238E27FC236}">
                <a16:creationId xmlns:a16="http://schemas.microsoft.com/office/drawing/2014/main" id="{D2CCD6C5-4A7D-432B-AF8F-19B280E6D2E0}"/>
              </a:ext>
            </a:extLst>
          </xdr:cNvPr>
          <xdr:cNvSpPr/>
        </xdr:nvSpPr>
        <xdr:spPr>
          <a:xfrm rot="5400000">
            <a:off x="7419301" y="2044099"/>
            <a:ext cx="279414" cy="2487777"/>
          </a:xfrm>
          <a:prstGeom prst="rightBrace">
            <a:avLst>
              <a:gd name="adj1" fmla="val 22287"/>
              <a:gd name="adj2" fmla="val 42615"/>
            </a:avLst>
          </a:prstGeom>
          <a:ln w="25400">
            <a:solidFill>
              <a:schemeClr val="bg2">
                <a:lumMod val="50000"/>
              </a:schemeClr>
            </a:solidFill>
            <a:extLst>
              <a:ext uri="{C807C97D-BFC1-408E-A445-0C87EB9F89A2}">
                <ask:lineSketchStyleProps xmlns:ask="http://schemas.microsoft.com/office/drawing/2018/sketchyshapes" sd="3705000160">
                  <a:custGeom>
                    <a:avLst/>
                    <a:gdLst>
                      <a:gd name="connsiteX0" fmla="*/ 0 w 481853"/>
                      <a:gd name="connsiteY0" fmla="*/ 0 h 3608295"/>
                      <a:gd name="connsiteX1" fmla="*/ 240927 w 481853"/>
                      <a:gd name="connsiteY1" fmla="*/ 40153 h 3608295"/>
                      <a:gd name="connsiteX2" fmla="*/ 240927 w 481853"/>
                      <a:gd name="connsiteY2" fmla="*/ 597383 h 3608295"/>
                      <a:gd name="connsiteX3" fmla="*/ 240927 w 481853"/>
                      <a:gd name="connsiteY3" fmla="*/ 1177358 h 3608295"/>
                      <a:gd name="connsiteX4" fmla="*/ 481854 w 481853"/>
                      <a:gd name="connsiteY4" fmla="*/ 1217511 h 3608295"/>
                      <a:gd name="connsiteX5" fmla="*/ 240927 w 481853"/>
                      <a:gd name="connsiteY5" fmla="*/ 1257664 h 3608295"/>
                      <a:gd name="connsiteX6" fmla="*/ 240927 w 481853"/>
                      <a:gd name="connsiteY6" fmla="*/ 1765969 h 3608295"/>
                      <a:gd name="connsiteX7" fmla="*/ 240927 w 481853"/>
                      <a:gd name="connsiteY7" fmla="*/ 2343589 h 3608295"/>
                      <a:gd name="connsiteX8" fmla="*/ 240927 w 481853"/>
                      <a:gd name="connsiteY8" fmla="*/ 2898103 h 3608295"/>
                      <a:gd name="connsiteX9" fmla="*/ 240927 w 481853"/>
                      <a:gd name="connsiteY9" fmla="*/ 3568142 h 3608295"/>
                      <a:gd name="connsiteX10" fmla="*/ 0 w 481853"/>
                      <a:gd name="connsiteY10" fmla="*/ 3608295 h 3608295"/>
                      <a:gd name="connsiteX11" fmla="*/ 0 w 481853"/>
                      <a:gd name="connsiteY11" fmla="*/ 3020658 h 3608295"/>
                      <a:gd name="connsiteX12" fmla="*/ 0 w 481853"/>
                      <a:gd name="connsiteY12" fmla="*/ 2541271 h 3608295"/>
                      <a:gd name="connsiteX13" fmla="*/ 0 w 481853"/>
                      <a:gd name="connsiteY13" fmla="*/ 2134049 h 3608295"/>
                      <a:gd name="connsiteX14" fmla="*/ 0 w 481853"/>
                      <a:gd name="connsiteY14" fmla="*/ 1546412 h 3608295"/>
                      <a:gd name="connsiteX15" fmla="*/ 0 w 481853"/>
                      <a:gd name="connsiteY15" fmla="*/ 958776 h 3608295"/>
                      <a:gd name="connsiteX16" fmla="*/ 0 w 481853"/>
                      <a:gd name="connsiteY16" fmla="*/ 515471 h 3608295"/>
                      <a:gd name="connsiteX17" fmla="*/ 0 w 481853"/>
                      <a:gd name="connsiteY17" fmla="*/ 0 h 3608295"/>
                      <a:gd name="connsiteX0" fmla="*/ 0 w 481853"/>
                      <a:gd name="connsiteY0" fmla="*/ 0 h 3608295"/>
                      <a:gd name="connsiteX1" fmla="*/ 240927 w 481853"/>
                      <a:gd name="connsiteY1" fmla="*/ 40153 h 3608295"/>
                      <a:gd name="connsiteX2" fmla="*/ 240927 w 481853"/>
                      <a:gd name="connsiteY2" fmla="*/ 586011 h 3608295"/>
                      <a:gd name="connsiteX3" fmla="*/ 240927 w 481853"/>
                      <a:gd name="connsiteY3" fmla="*/ 1177358 h 3608295"/>
                      <a:gd name="connsiteX4" fmla="*/ 481854 w 481853"/>
                      <a:gd name="connsiteY4" fmla="*/ 1217511 h 3608295"/>
                      <a:gd name="connsiteX5" fmla="*/ 240927 w 481853"/>
                      <a:gd name="connsiteY5" fmla="*/ 1257664 h 3608295"/>
                      <a:gd name="connsiteX6" fmla="*/ 240927 w 481853"/>
                      <a:gd name="connsiteY6" fmla="*/ 1765969 h 3608295"/>
                      <a:gd name="connsiteX7" fmla="*/ 240927 w 481853"/>
                      <a:gd name="connsiteY7" fmla="*/ 2366693 h 3608295"/>
                      <a:gd name="connsiteX8" fmla="*/ 240927 w 481853"/>
                      <a:gd name="connsiteY8" fmla="*/ 2874999 h 3608295"/>
                      <a:gd name="connsiteX9" fmla="*/ 240927 w 481853"/>
                      <a:gd name="connsiteY9" fmla="*/ 3568142 h 3608295"/>
                      <a:gd name="connsiteX10" fmla="*/ 0 w 481853"/>
                      <a:gd name="connsiteY10" fmla="*/ 3608295 h 360829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481853" h="3608295" stroke="0" extrusionOk="0">
                        <a:moveTo>
                          <a:pt x="0" y="0"/>
                        </a:moveTo>
                        <a:cubicBezTo>
                          <a:pt x="131089" y="248"/>
                          <a:pt x="239457" y="18662"/>
                          <a:pt x="240927" y="40153"/>
                        </a:cubicBezTo>
                        <a:cubicBezTo>
                          <a:pt x="254854" y="171930"/>
                          <a:pt x="190243" y="351734"/>
                          <a:pt x="240927" y="597383"/>
                        </a:cubicBezTo>
                        <a:cubicBezTo>
                          <a:pt x="291611" y="843032"/>
                          <a:pt x="201308" y="1029605"/>
                          <a:pt x="240927" y="1177358"/>
                        </a:cubicBezTo>
                        <a:cubicBezTo>
                          <a:pt x="238459" y="1191425"/>
                          <a:pt x="367072" y="1234522"/>
                          <a:pt x="481854" y="1217511"/>
                        </a:cubicBezTo>
                        <a:cubicBezTo>
                          <a:pt x="346044" y="1216053"/>
                          <a:pt x="240849" y="1234343"/>
                          <a:pt x="240927" y="1257664"/>
                        </a:cubicBezTo>
                        <a:cubicBezTo>
                          <a:pt x="295085" y="1423339"/>
                          <a:pt x="209245" y="1600641"/>
                          <a:pt x="240927" y="1765969"/>
                        </a:cubicBezTo>
                        <a:cubicBezTo>
                          <a:pt x="272609" y="1931297"/>
                          <a:pt x="208957" y="2067742"/>
                          <a:pt x="240927" y="2343589"/>
                        </a:cubicBezTo>
                        <a:cubicBezTo>
                          <a:pt x="272897" y="2619436"/>
                          <a:pt x="184052" y="2751313"/>
                          <a:pt x="240927" y="2898103"/>
                        </a:cubicBezTo>
                        <a:cubicBezTo>
                          <a:pt x="297802" y="3044893"/>
                          <a:pt x="181557" y="3385199"/>
                          <a:pt x="240927" y="3568142"/>
                        </a:cubicBezTo>
                        <a:cubicBezTo>
                          <a:pt x="267697" y="3598815"/>
                          <a:pt x="121091" y="3588264"/>
                          <a:pt x="0" y="3608295"/>
                        </a:cubicBezTo>
                        <a:cubicBezTo>
                          <a:pt x="-66658" y="3370436"/>
                          <a:pt x="60667" y="3223090"/>
                          <a:pt x="0" y="3020658"/>
                        </a:cubicBezTo>
                        <a:cubicBezTo>
                          <a:pt x="-60667" y="2818226"/>
                          <a:pt x="36565" y="2665929"/>
                          <a:pt x="0" y="2541271"/>
                        </a:cubicBezTo>
                        <a:cubicBezTo>
                          <a:pt x="-36565" y="2416613"/>
                          <a:pt x="31079" y="2314505"/>
                          <a:pt x="0" y="2134049"/>
                        </a:cubicBezTo>
                        <a:cubicBezTo>
                          <a:pt x="-31079" y="1953593"/>
                          <a:pt x="36623" y="1828673"/>
                          <a:pt x="0" y="1546412"/>
                        </a:cubicBezTo>
                        <a:cubicBezTo>
                          <a:pt x="-36623" y="1264151"/>
                          <a:pt x="41174" y="1178388"/>
                          <a:pt x="0" y="958776"/>
                        </a:cubicBezTo>
                        <a:cubicBezTo>
                          <a:pt x="-41174" y="739164"/>
                          <a:pt x="6736" y="673264"/>
                          <a:pt x="0" y="515471"/>
                        </a:cubicBezTo>
                        <a:cubicBezTo>
                          <a:pt x="-6736" y="357678"/>
                          <a:pt x="5744" y="141085"/>
                          <a:pt x="0" y="0"/>
                        </a:cubicBezTo>
                        <a:close/>
                      </a:path>
                      <a:path w="481853" h="3608295" fill="none" extrusionOk="0">
                        <a:moveTo>
                          <a:pt x="0" y="0"/>
                        </a:moveTo>
                        <a:cubicBezTo>
                          <a:pt x="138771" y="-2264"/>
                          <a:pt x="237779" y="21295"/>
                          <a:pt x="240927" y="40153"/>
                        </a:cubicBezTo>
                        <a:cubicBezTo>
                          <a:pt x="276736" y="259420"/>
                          <a:pt x="227420" y="424180"/>
                          <a:pt x="240927" y="586011"/>
                        </a:cubicBezTo>
                        <a:cubicBezTo>
                          <a:pt x="254434" y="747842"/>
                          <a:pt x="215291" y="895665"/>
                          <a:pt x="240927" y="1177358"/>
                        </a:cubicBezTo>
                        <a:cubicBezTo>
                          <a:pt x="243340" y="1204760"/>
                          <a:pt x="324180" y="1208813"/>
                          <a:pt x="481854" y="1217511"/>
                        </a:cubicBezTo>
                        <a:cubicBezTo>
                          <a:pt x="350871" y="1215728"/>
                          <a:pt x="245947" y="1235348"/>
                          <a:pt x="240927" y="1257664"/>
                        </a:cubicBezTo>
                        <a:cubicBezTo>
                          <a:pt x="281030" y="1388607"/>
                          <a:pt x="207643" y="1651195"/>
                          <a:pt x="240927" y="1765969"/>
                        </a:cubicBezTo>
                        <a:cubicBezTo>
                          <a:pt x="274211" y="1880744"/>
                          <a:pt x="168889" y="2155879"/>
                          <a:pt x="240927" y="2366693"/>
                        </a:cubicBezTo>
                        <a:cubicBezTo>
                          <a:pt x="312965" y="2577507"/>
                          <a:pt x="231267" y="2672134"/>
                          <a:pt x="240927" y="2874999"/>
                        </a:cubicBezTo>
                        <a:cubicBezTo>
                          <a:pt x="250587" y="3077864"/>
                          <a:pt x="224884" y="3340504"/>
                          <a:pt x="240927" y="3568142"/>
                        </a:cubicBezTo>
                        <a:cubicBezTo>
                          <a:pt x="250296" y="3617729"/>
                          <a:pt x="153818" y="3604941"/>
                          <a:pt x="0" y="3608295"/>
                        </a:cubicBezTo>
                      </a:path>
                    </a:pathLst>
                  </a:custGeom>
                  <ask:type>
                    <ask:lineSketchNone/>
                  </ask:type>
                </ask:lineSketchStyleProps>
              </a:ext>
            </a:extLst>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AU" sz="1100"/>
          </a:p>
        </xdr:txBody>
      </xdr:sp>
      <xdr:sp macro="" textlink="">
        <xdr:nvSpPr>
          <xdr:cNvPr id="36" name="Freeform: Shape 35">
            <a:extLst>
              <a:ext uri="{FF2B5EF4-FFF2-40B4-BE49-F238E27FC236}">
                <a16:creationId xmlns:a16="http://schemas.microsoft.com/office/drawing/2014/main" id="{45E598F2-D977-493C-9920-8D08AC8971FE}"/>
              </a:ext>
            </a:extLst>
          </xdr:cNvPr>
          <xdr:cNvSpPr/>
        </xdr:nvSpPr>
        <xdr:spPr>
          <a:xfrm>
            <a:off x="5902935" y="1289304"/>
            <a:ext cx="214769" cy="985820"/>
          </a:xfrm>
          <a:custGeom>
            <a:avLst/>
            <a:gdLst>
              <a:gd name="connsiteX0" fmla="*/ 0 w 717177"/>
              <a:gd name="connsiteY0" fmla="*/ 0 h 291353"/>
              <a:gd name="connsiteX1" fmla="*/ 168089 w 717177"/>
              <a:gd name="connsiteY1" fmla="*/ 190500 h 291353"/>
              <a:gd name="connsiteX2" fmla="*/ 717177 w 717177"/>
              <a:gd name="connsiteY2" fmla="*/ 291353 h 291353"/>
            </a:gdLst>
            <a:ahLst/>
            <a:cxnLst>
              <a:cxn ang="0">
                <a:pos x="connsiteX0" y="connsiteY0"/>
              </a:cxn>
              <a:cxn ang="0">
                <a:pos x="connsiteX1" y="connsiteY1"/>
              </a:cxn>
              <a:cxn ang="0">
                <a:pos x="connsiteX2" y="connsiteY2"/>
              </a:cxn>
            </a:cxnLst>
            <a:rect l="l" t="t" r="r" b="b"/>
            <a:pathLst>
              <a:path w="717177" h="291353">
                <a:moveTo>
                  <a:pt x="0" y="0"/>
                </a:moveTo>
                <a:cubicBezTo>
                  <a:pt x="24280" y="70970"/>
                  <a:pt x="48560" y="141941"/>
                  <a:pt x="168089" y="190500"/>
                </a:cubicBezTo>
                <a:cubicBezTo>
                  <a:pt x="287619" y="239059"/>
                  <a:pt x="502398" y="265206"/>
                  <a:pt x="717177" y="291353"/>
                </a:cubicBezTo>
              </a:path>
            </a:pathLst>
          </a:custGeom>
          <a:noFill/>
          <a:ln>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37" name="Freeform: Shape 36">
            <a:extLst>
              <a:ext uri="{FF2B5EF4-FFF2-40B4-BE49-F238E27FC236}">
                <a16:creationId xmlns:a16="http://schemas.microsoft.com/office/drawing/2014/main" id="{E4319D3F-A730-48DF-92E0-9DF0951C6D30}"/>
              </a:ext>
            </a:extLst>
          </xdr:cNvPr>
          <xdr:cNvSpPr/>
        </xdr:nvSpPr>
        <xdr:spPr>
          <a:xfrm flipH="1">
            <a:off x="8856301" y="1259450"/>
            <a:ext cx="66612" cy="674299"/>
          </a:xfrm>
          <a:custGeom>
            <a:avLst/>
            <a:gdLst>
              <a:gd name="connsiteX0" fmla="*/ 0 w 717177"/>
              <a:gd name="connsiteY0" fmla="*/ 0 h 291353"/>
              <a:gd name="connsiteX1" fmla="*/ 168089 w 717177"/>
              <a:gd name="connsiteY1" fmla="*/ 190500 h 291353"/>
              <a:gd name="connsiteX2" fmla="*/ 717177 w 717177"/>
              <a:gd name="connsiteY2" fmla="*/ 291353 h 291353"/>
            </a:gdLst>
            <a:ahLst/>
            <a:cxnLst>
              <a:cxn ang="0">
                <a:pos x="connsiteX0" y="connsiteY0"/>
              </a:cxn>
              <a:cxn ang="0">
                <a:pos x="connsiteX1" y="connsiteY1"/>
              </a:cxn>
              <a:cxn ang="0">
                <a:pos x="connsiteX2" y="connsiteY2"/>
              </a:cxn>
            </a:cxnLst>
            <a:rect l="l" t="t" r="r" b="b"/>
            <a:pathLst>
              <a:path w="717177" h="291353">
                <a:moveTo>
                  <a:pt x="0" y="0"/>
                </a:moveTo>
                <a:cubicBezTo>
                  <a:pt x="24280" y="70970"/>
                  <a:pt x="48560" y="141941"/>
                  <a:pt x="168089" y="190500"/>
                </a:cubicBezTo>
                <a:cubicBezTo>
                  <a:pt x="287619" y="239059"/>
                  <a:pt x="502398" y="265206"/>
                  <a:pt x="717177" y="291353"/>
                </a:cubicBezTo>
              </a:path>
            </a:pathLst>
          </a:custGeom>
          <a:noFill/>
          <a:ln>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45" name="Right Brace 44">
            <a:extLst>
              <a:ext uri="{FF2B5EF4-FFF2-40B4-BE49-F238E27FC236}">
                <a16:creationId xmlns:a16="http://schemas.microsoft.com/office/drawing/2014/main" id="{7654F5D3-E95C-4B0F-ACEF-4CF61C40ECDE}"/>
              </a:ext>
            </a:extLst>
          </xdr:cNvPr>
          <xdr:cNvSpPr/>
        </xdr:nvSpPr>
        <xdr:spPr>
          <a:xfrm rot="5400000">
            <a:off x="9848439" y="2112495"/>
            <a:ext cx="279414" cy="2350982"/>
          </a:xfrm>
          <a:prstGeom prst="rightBrace">
            <a:avLst>
              <a:gd name="adj1" fmla="val 22287"/>
              <a:gd name="adj2" fmla="val 50771"/>
            </a:avLst>
          </a:prstGeom>
          <a:ln w="25400">
            <a:solidFill>
              <a:schemeClr val="bg2">
                <a:lumMod val="50000"/>
              </a:schemeClr>
            </a:solidFill>
            <a:extLst>
              <a:ext uri="{C807C97D-BFC1-408E-A445-0C87EB9F89A2}">
                <ask:lineSketchStyleProps xmlns:ask="http://schemas.microsoft.com/office/drawing/2018/sketchyshapes" sd="3705000160">
                  <a:custGeom>
                    <a:avLst/>
                    <a:gdLst>
                      <a:gd name="connsiteX0" fmla="*/ 0 w 481853"/>
                      <a:gd name="connsiteY0" fmla="*/ 0 h 3608295"/>
                      <a:gd name="connsiteX1" fmla="*/ 240927 w 481853"/>
                      <a:gd name="connsiteY1" fmla="*/ 40153 h 3608295"/>
                      <a:gd name="connsiteX2" fmla="*/ 240927 w 481853"/>
                      <a:gd name="connsiteY2" fmla="*/ 597383 h 3608295"/>
                      <a:gd name="connsiteX3" fmla="*/ 240927 w 481853"/>
                      <a:gd name="connsiteY3" fmla="*/ 1177358 h 3608295"/>
                      <a:gd name="connsiteX4" fmla="*/ 481854 w 481853"/>
                      <a:gd name="connsiteY4" fmla="*/ 1217511 h 3608295"/>
                      <a:gd name="connsiteX5" fmla="*/ 240927 w 481853"/>
                      <a:gd name="connsiteY5" fmla="*/ 1257664 h 3608295"/>
                      <a:gd name="connsiteX6" fmla="*/ 240927 w 481853"/>
                      <a:gd name="connsiteY6" fmla="*/ 1765969 h 3608295"/>
                      <a:gd name="connsiteX7" fmla="*/ 240927 w 481853"/>
                      <a:gd name="connsiteY7" fmla="*/ 2343589 h 3608295"/>
                      <a:gd name="connsiteX8" fmla="*/ 240927 w 481853"/>
                      <a:gd name="connsiteY8" fmla="*/ 2898103 h 3608295"/>
                      <a:gd name="connsiteX9" fmla="*/ 240927 w 481853"/>
                      <a:gd name="connsiteY9" fmla="*/ 3568142 h 3608295"/>
                      <a:gd name="connsiteX10" fmla="*/ 0 w 481853"/>
                      <a:gd name="connsiteY10" fmla="*/ 3608295 h 3608295"/>
                      <a:gd name="connsiteX11" fmla="*/ 0 w 481853"/>
                      <a:gd name="connsiteY11" fmla="*/ 3020658 h 3608295"/>
                      <a:gd name="connsiteX12" fmla="*/ 0 w 481853"/>
                      <a:gd name="connsiteY12" fmla="*/ 2541271 h 3608295"/>
                      <a:gd name="connsiteX13" fmla="*/ 0 w 481853"/>
                      <a:gd name="connsiteY13" fmla="*/ 2134049 h 3608295"/>
                      <a:gd name="connsiteX14" fmla="*/ 0 w 481853"/>
                      <a:gd name="connsiteY14" fmla="*/ 1546412 h 3608295"/>
                      <a:gd name="connsiteX15" fmla="*/ 0 w 481853"/>
                      <a:gd name="connsiteY15" fmla="*/ 958776 h 3608295"/>
                      <a:gd name="connsiteX16" fmla="*/ 0 w 481853"/>
                      <a:gd name="connsiteY16" fmla="*/ 515471 h 3608295"/>
                      <a:gd name="connsiteX17" fmla="*/ 0 w 481853"/>
                      <a:gd name="connsiteY17" fmla="*/ 0 h 3608295"/>
                      <a:gd name="connsiteX0" fmla="*/ 0 w 481853"/>
                      <a:gd name="connsiteY0" fmla="*/ 0 h 3608295"/>
                      <a:gd name="connsiteX1" fmla="*/ 240927 w 481853"/>
                      <a:gd name="connsiteY1" fmla="*/ 40153 h 3608295"/>
                      <a:gd name="connsiteX2" fmla="*/ 240927 w 481853"/>
                      <a:gd name="connsiteY2" fmla="*/ 586011 h 3608295"/>
                      <a:gd name="connsiteX3" fmla="*/ 240927 w 481853"/>
                      <a:gd name="connsiteY3" fmla="*/ 1177358 h 3608295"/>
                      <a:gd name="connsiteX4" fmla="*/ 481854 w 481853"/>
                      <a:gd name="connsiteY4" fmla="*/ 1217511 h 3608295"/>
                      <a:gd name="connsiteX5" fmla="*/ 240927 w 481853"/>
                      <a:gd name="connsiteY5" fmla="*/ 1257664 h 3608295"/>
                      <a:gd name="connsiteX6" fmla="*/ 240927 w 481853"/>
                      <a:gd name="connsiteY6" fmla="*/ 1765969 h 3608295"/>
                      <a:gd name="connsiteX7" fmla="*/ 240927 w 481853"/>
                      <a:gd name="connsiteY7" fmla="*/ 2366693 h 3608295"/>
                      <a:gd name="connsiteX8" fmla="*/ 240927 w 481853"/>
                      <a:gd name="connsiteY8" fmla="*/ 2874999 h 3608295"/>
                      <a:gd name="connsiteX9" fmla="*/ 240927 w 481853"/>
                      <a:gd name="connsiteY9" fmla="*/ 3568142 h 3608295"/>
                      <a:gd name="connsiteX10" fmla="*/ 0 w 481853"/>
                      <a:gd name="connsiteY10" fmla="*/ 3608295 h 360829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481853" h="3608295" stroke="0" extrusionOk="0">
                        <a:moveTo>
                          <a:pt x="0" y="0"/>
                        </a:moveTo>
                        <a:cubicBezTo>
                          <a:pt x="131089" y="248"/>
                          <a:pt x="239457" y="18662"/>
                          <a:pt x="240927" y="40153"/>
                        </a:cubicBezTo>
                        <a:cubicBezTo>
                          <a:pt x="254854" y="171930"/>
                          <a:pt x="190243" y="351734"/>
                          <a:pt x="240927" y="597383"/>
                        </a:cubicBezTo>
                        <a:cubicBezTo>
                          <a:pt x="291611" y="843032"/>
                          <a:pt x="201308" y="1029605"/>
                          <a:pt x="240927" y="1177358"/>
                        </a:cubicBezTo>
                        <a:cubicBezTo>
                          <a:pt x="238459" y="1191425"/>
                          <a:pt x="367072" y="1234522"/>
                          <a:pt x="481854" y="1217511"/>
                        </a:cubicBezTo>
                        <a:cubicBezTo>
                          <a:pt x="346044" y="1216053"/>
                          <a:pt x="240849" y="1234343"/>
                          <a:pt x="240927" y="1257664"/>
                        </a:cubicBezTo>
                        <a:cubicBezTo>
                          <a:pt x="295085" y="1423339"/>
                          <a:pt x="209245" y="1600641"/>
                          <a:pt x="240927" y="1765969"/>
                        </a:cubicBezTo>
                        <a:cubicBezTo>
                          <a:pt x="272609" y="1931297"/>
                          <a:pt x="208957" y="2067742"/>
                          <a:pt x="240927" y="2343589"/>
                        </a:cubicBezTo>
                        <a:cubicBezTo>
                          <a:pt x="272897" y="2619436"/>
                          <a:pt x="184052" y="2751313"/>
                          <a:pt x="240927" y="2898103"/>
                        </a:cubicBezTo>
                        <a:cubicBezTo>
                          <a:pt x="297802" y="3044893"/>
                          <a:pt x="181557" y="3385199"/>
                          <a:pt x="240927" y="3568142"/>
                        </a:cubicBezTo>
                        <a:cubicBezTo>
                          <a:pt x="267697" y="3598815"/>
                          <a:pt x="121091" y="3588264"/>
                          <a:pt x="0" y="3608295"/>
                        </a:cubicBezTo>
                        <a:cubicBezTo>
                          <a:pt x="-66658" y="3370436"/>
                          <a:pt x="60667" y="3223090"/>
                          <a:pt x="0" y="3020658"/>
                        </a:cubicBezTo>
                        <a:cubicBezTo>
                          <a:pt x="-60667" y="2818226"/>
                          <a:pt x="36565" y="2665929"/>
                          <a:pt x="0" y="2541271"/>
                        </a:cubicBezTo>
                        <a:cubicBezTo>
                          <a:pt x="-36565" y="2416613"/>
                          <a:pt x="31079" y="2314505"/>
                          <a:pt x="0" y="2134049"/>
                        </a:cubicBezTo>
                        <a:cubicBezTo>
                          <a:pt x="-31079" y="1953593"/>
                          <a:pt x="36623" y="1828673"/>
                          <a:pt x="0" y="1546412"/>
                        </a:cubicBezTo>
                        <a:cubicBezTo>
                          <a:pt x="-36623" y="1264151"/>
                          <a:pt x="41174" y="1178388"/>
                          <a:pt x="0" y="958776"/>
                        </a:cubicBezTo>
                        <a:cubicBezTo>
                          <a:pt x="-41174" y="739164"/>
                          <a:pt x="6736" y="673264"/>
                          <a:pt x="0" y="515471"/>
                        </a:cubicBezTo>
                        <a:cubicBezTo>
                          <a:pt x="-6736" y="357678"/>
                          <a:pt x="5744" y="141085"/>
                          <a:pt x="0" y="0"/>
                        </a:cubicBezTo>
                        <a:close/>
                      </a:path>
                      <a:path w="481853" h="3608295" fill="none" extrusionOk="0">
                        <a:moveTo>
                          <a:pt x="0" y="0"/>
                        </a:moveTo>
                        <a:cubicBezTo>
                          <a:pt x="138771" y="-2264"/>
                          <a:pt x="237779" y="21295"/>
                          <a:pt x="240927" y="40153"/>
                        </a:cubicBezTo>
                        <a:cubicBezTo>
                          <a:pt x="276736" y="259420"/>
                          <a:pt x="227420" y="424180"/>
                          <a:pt x="240927" y="586011"/>
                        </a:cubicBezTo>
                        <a:cubicBezTo>
                          <a:pt x="254434" y="747842"/>
                          <a:pt x="215291" y="895665"/>
                          <a:pt x="240927" y="1177358"/>
                        </a:cubicBezTo>
                        <a:cubicBezTo>
                          <a:pt x="243340" y="1204760"/>
                          <a:pt x="324180" y="1208813"/>
                          <a:pt x="481854" y="1217511"/>
                        </a:cubicBezTo>
                        <a:cubicBezTo>
                          <a:pt x="350871" y="1215728"/>
                          <a:pt x="245947" y="1235348"/>
                          <a:pt x="240927" y="1257664"/>
                        </a:cubicBezTo>
                        <a:cubicBezTo>
                          <a:pt x="281030" y="1388607"/>
                          <a:pt x="207643" y="1651195"/>
                          <a:pt x="240927" y="1765969"/>
                        </a:cubicBezTo>
                        <a:cubicBezTo>
                          <a:pt x="274211" y="1880744"/>
                          <a:pt x="168889" y="2155879"/>
                          <a:pt x="240927" y="2366693"/>
                        </a:cubicBezTo>
                        <a:cubicBezTo>
                          <a:pt x="312965" y="2577507"/>
                          <a:pt x="231267" y="2672134"/>
                          <a:pt x="240927" y="2874999"/>
                        </a:cubicBezTo>
                        <a:cubicBezTo>
                          <a:pt x="250587" y="3077864"/>
                          <a:pt x="224884" y="3340504"/>
                          <a:pt x="240927" y="3568142"/>
                        </a:cubicBezTo>
                        <a:cubicBezTo>
                          <a:pt x="250296" y="3617729"/>
                          <a:pt x="153818" y="3604941"/>
                          <a:pt x="0" y="3608295"/>
                        </a:cubicBezTo>
                      </a:path>
                    </a:pathLst>
                  </a:custGeom>
                  <ask:type>
                    <ask:lineSketchNone/>
                  </ask:type>
                </ask:lineSketchStyleProps>
              </a:ext>
            </a:extLst>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AU" sz="1100"/>
          </a:p>
        </xdr:txBody>
      </xdr:sp>
      <xdr:sp macro="" textlink="">
        <xdr:nvSpPr>
          <xdr:cNvPr id="49" name="Freeform: Shape 48">
            <a:extLst>
              <a:ext uri="{FF2B5EF4-FFF2-40B4-BE49-F238E27FC236}">
                <a16:creationId xmlns:a16="http://schemas.microsoft.com/office/drawing/2014/main" id="{D22C34C0-5A8A-4370-A79A-A836C8C0D5D3}"/>
              </a:ext>
            </a:extLst>
          </xdr:cNvPr>
          <xdr:cNvSpPr/>
        </xdr:nvSpPr>
        <xdr:spPr>
          <a:xfrm>
            <a:off x="10430894" y="1256069"/>
            <a:ext cx="430113" cy="750912"/>
          </a:xfrm>
          <a:custGeom>
            <a:avLst/>
            <a:gdLst>
              <a:gd name="connsiteX0" fmla="*/ 0 w 717177"/>
              <a:gd name="connsiteY0" fmla="*/ 0 h 291353"/>
              <a:gd name="connsiteX1" fmla="*/ 168089 w 717177"/>
              <a:gd name="connsiteY1" fmla="*/ 190500 h 291353"/>
              <a:gd name="connsiteX2" fmla="*/ 717177 w 717177"/>
              <a:gd name="connsiteY2" fmla="*/ 291353 h 291353"/>
            </a:gdLst>
            <a:ahLst/>
            <a:cxnLst>
              <a:cxn ang="0">
                <a:pos x="connsiteX0" y="connsiteY0"/>
              </a:cxn>
              <a:cxn ang="0">
                <a:pos x="connsiteX1" y="connsiteY1"/>
              </a:cxn>
              <a:cxn ang="0">
                <a:pos x="connsiteX2" y="connsiteY2"/>
              </a:cxn>
            </a:cxnLst>
            <a:rect l="l" t="t" r="r" b="b"/>
            <a:pathLst>
              <a:path w="717177" h="291353">
                <a:moveTo>
                  <a:pt x="0" y="0"/>
                </a:moveTo>
                <a:cubicBezTo>
                  <a:pt x="24280" y="70970"/>
                  <a:pt x="48560" y="141941"/>
                  <a:pt x="168089" y="190500"/>
                </a:cubicBezTo>
                <a:cubicBezTo>
                  <a:pt x="287619" y="239059"/>
                  <a:pt x="502398" y="265206"/>
                  <a:pt x="717177" y="291353"/>
                </a:cubicBezTo>
              </a:path>
            </a:pathLst>
          </a:custGeom>
          <a:noFill/>
          <a:ln>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50" name="Freeform: Shape 49">
            <a:extLst>
              <a:ext uri="{FF2B5EF4-FFF2-40B4-BE49-F238E27FC236}">
                <a16:creationId xmlns:a16="http://schemas.microsoft.com/office/drawing/2014/main" id="{2424AFF6-F463-4ADE-9137-E607C6D2BA59}"/>
              </a:ext>
            </a:extLst>
          </xdr:cNvPr>
          <xdr:cNvSpPr/>
        </xdr:nvSpPr>
        <xdr:spPr>
          <a:xfrm rot="5400000">
            <a:off x="8656286" y="4321903"/>
            <a:ext cx="1149184" cy="215919"/>
          </a:xfrm>
          <a:custGeom>
            <a:avLst/>
            <a:gdLst>
              <a:gd name="connsiteX0" fmla="*/ 0 w 717177"/>
              <a:gd name="connsiteY0" fmla="*/ 0 h 291353"/>
              <a:gd name="connsiteX1" fmla="*/ 168089 w 717177"/>
              <a:gd name="connsiteY1" fmla="*/ 190500 h 291353"/>
              <a:gd name="connsiteX2" fmla="*/ 717177 w 717177"/>
              <a:gd name="connsiteY2" fmla="*/ 291353 h 291353"/>
            </a:gdLst>
            <a:ahLst/>
            <a:cxnLst>
              <a:cxn ang="0">
                <a:pos x="connsiteX0" y="connsiteY0"/>
              </a:cxn>
              <a:cxn ang="0">
                <a:pos x="connsiteX1" y="connsiteY1"/>
              </a:cxn>
              <a:cxn ang="0">
                <a:pos x="connsiteX2" y="connsiteY2"/>
              </a:cxn>
            </a:cxnLst>
            <a:rect l="l" t="t" r="r" b="b"/>
            <a:pathLst>
              <a:path w="717177" h="291353">
                <a:moveTo>
                  <a:pt x="0" y="0"/>
                </a:moveTo>
                <a:cubicBezTo>
                  <a:pt x="24280" y="70970"/>
                  <a:pt x="48560" y="141941"/>
                  <a:pt x="168089" y="190500"/>
                </a:cubicBezTo>
                <a:cubicBezTo>
                  <a:pt x="287619" y="239059"/>
                  <a:pt x="502398" y="265206"/>
                  <a:pt x="717177" y="291353"/>
                </a:cubicBezTo>
              </a:path>
            </a:pathLst>
          </a:custGeom>
          <a:noFill/>
          <a:ln>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52" name="Freeform: Shape 51">
            <a:extLst>
              <a:ext uri="{FF2B5EF4-FFF2-40B4-BE49-F238E27FC236}">
                <a16:creationId xmlns:a16="http://schemas.microsoft.com/office/drawing/2014/main" id="{47620D50-7209-4AA5-8A60-7FEAE5DF5F99}"/>
              </a:ext>
            </a:extLst>
          </xdr:cNvPr>
          <xdr:cNvSpPr/>
        </xdr:nvSpPr>
        <xdr:spPr>
          <a:xfrm rot="16200000" flipH="1">
            <a:off x="7652619" y="4266062"/>
            <a:ext cx="1138477" cy="341679"/>
          </a:xfrm>
          <a:custGeom>
            <a:avLst/>
            <a:gdLst>
              <a:gd name="connsiteX0" fmla="*/ 0 w 717177"/>
              <a:gd name="connsiteY0" fmla="*/ 0 h 291353"/>
              <a:gd name="connsiteX1" fmla="*/ 168089 w 717177"/>
              <a:gd name="connsiteY1" fmla="*/ 190500 h 291353"/>
              <a:gd name="connsiteX2" fmla="*/ 717177 w 717177"/>
              <a:gd name="connsiteY2" fmla="*/ 291353 h 291353"/>
            </a:gdLst>
            <a:ahLst/>
            <a:cxnLst>
              <a:cxn ang="0">
                <a:pos x="connsiteX0" y="connsiteY0"/>
              </a:cxn>
              <a:cxn ang="0">
                <a:pos x="connsiteX1" y="connsiteY1"/>
              </a:cxn>
              <a:cxn ang="0">
                <a:pos x="connsiteX2" y="connsiteY2"/>
              </a:cxn>
            </a:cxnLst>
            <a:rect l="l" t="t" r="r" b="b"/>
            <a:pathLst>
              <a:path w="717177" h="291353">
                <a:moveTo>
                  <a:pt x="0" y="0"/>
                </a:moveTo>
                <a:cubicBezTo>
                  <a:pt x="24280" y="70970"/>
                  <a:pt x="48560" y="141941"/>
                  <a:pt x="168089" y="190500"/>
                </a:cubicBezTo>
                <a:cubicBezTo>
                  <a:pt x="287619" y="239059"/>
                  <a:pt x="502398" y="265206"/>
                  <a:pt x="717177" y="291353"/>
                </a:cubicBezTo>
              </a:path>
            </a:pathLst>
          </a:custGeom>
          <a:noFill/>
          <a:ln>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41" name="Right Brace 40">
            <a:extLst>
              <a:ext uri="{FF2B5EF4-FFF2-40B4-BE49-F238E27FC236}">
                <a16:creationId xmlns:a16="http://schemas.microsoft.com/office/drawing/2014/main" id="{2E1CB1B1-88EB-451D-989E-CAA13C9B9BD4}"/>
              </a:ext>
            </a:extLst>
          </xdr:cNvPr>
          <xdr:cNvSpPr/>
        </xdr:nvSpPr>
        <xdr:spPr>
          <a:xfrm rot="5400000">
            <a:off x="8280296" y="1041296"/>
            <a:ext cx="463848" cy="10372923"/>
          </a:xfrm>
          <a:prstGeom prst="rightBrace">
            <a:avLst>
              <a:gd name="adj1" fmla="val 22287"/>
              <a:gd name="adj2" fmla="val 42615"/>
            </a:avLst>
          </a:prstGeom>
          <a:ln w="25400">
            <a:solidFill>
              <a:schemeClr val="bg2">
                <a:lumMod val="50000"/>
              </a:schemeClr>
            </a:solidFill>
            <a:extLst>
              <a:ext uri="{C807C97D-BFC1-408E-A445-0C87EB9F89A2}">
                <ask:lineSketchStyleProps xmlns:ask="http://schemas.microsoft.com/office/drawing/2018/sketchyshapes" sd="3705000160">
                  <a:custGeom>
                    <a:avLst/>
                    <a:gdLst>
                      <a:gd name="connsiteX0" fmla="*/ 0 w 481853"/>
                      <a:gd name="connsiteY0" fmla="*/ 0 h 3608295"/>
                      <a:gd name="connsiteX1" fmla="*/ 240927 w 481853"/>
                      <a:gd name="connsiteY1" fmla="*/ 40153 h 3608295"/>
                      <a:gd name="connsiteX2" fmla="*/ 240927 w 481853"/>
                      <a:gd name="connsiteY2" fmla="*/ 597383 h 3608295"/>
                      <a:gd name="connsiteX3" fmla="*/ 240927 w 481853"/>
                      <a:gd name="connsiteY3" fmla="*/ 1177358 h 3608295"/>
                      <a:gd name="connsiteX4" fmla="*/ 481854 w 481853"/>
                      <a:gd name="connsiteY4" fmla="*/ 1217511 h 3608295"/>
                      <a:gd name="connsiteX5" fmla="*/ 240927 w 481853"/>
                      <a:gd name="connsiteY5" fmla="*/ 1257664 h 3608295"/>
                      <a:gd name="connsiteX6" fmla="*/ 240927 w 481853"/>
                      <a:gd name="connsiteY6" fmla="*/ 1765969 h 3608295"/>
                      <a:gd name="connsiteX7" fmla="*/ 240927 w 481853"/>
                      <a:gd name="connsiteY7" fmla="*/ 2343589 h 3608295"/>
                      <a:gd name="connsiteX8" fmla="*/ 240927 w 481853"/>
                      <a:gd name="connsiteY8" fmla="*/ 2898103 h 3608295"/>
                      <a:gd name="connsiteX9" fmla="*/ 240927 w 481853"/>
                      <a:gd name="connsiteY9" fmla="*/ 3568142 h 3608295"/>
                      <a:gd name="connsiteX10" fmla="*/ 0 w 481853"/>
                      <a:gd name="connsiteY10" fmla="*/ 3608295 h 3608295"/>
                      <a:gd name="connsiteX11" fmla="*/ 0 w 481853"/>
                      <a:gd name="connsiteY11" fmla="*/ 3020658 h 3608295"/>
                      <a:gd name="connsiteX12" fmla="*/ 0 w 481853"/>
                      <a:gd name="connsiteY12" fmla="*/ 2541271 h 3608295"/>
                      <a:gd name="connsiteX13" fmla="*/ 0 w 481853"/>
                      <a:gd name="connsiteY13" fmla="*/ 2134049 h 3608295"/>
                      <a:gd name="connsiteX14" fmla="*/ 0 w 481853"/>
                      <a:gd name="connsiteY14" fmla="*/ 1546412 h 3608295"/>
                      <a:gd name="connsiteX15" fmla="*/ 0 w 481853"/>
                      <a:gd name="connsiteY15" fmla="*/ 958776 h 3608295"/>
                      <a:gd name="connsiteX16" fmla="*/ 0 w 481853"/>
                      <a:gd name="connsiteY16" fmla="*/ 515471 h 3608295"/>
                      <a:gd name="connsiteX17" fmla="*/ 0 w 481853"/>
                      <a:gd name="connsiteY17" fmla="*/ 0 h 3608295"/>
                      <a:gd name="connsiteX0" fmla="*/ 0 w 481853"/>
                      <a:gd name="connsiteY0" fmla="*/ 0 h 3608295"/>
                      <a:gd name="connsiteX1" fmla="*/ 240927 w 481853"/>
                      <a:gd name="connsiteY1" fmla="*/ 40153 h 3608295"/>
                      <a:gd name="connsiteX2" fmla="*/ 240927 w 481853"/>
                      <a:gd name="connsiteY2" fmla="*/ 586011 h 3608295"/>
                      <a:gd name="connsiteX3" fmla="*/ 240927 w 481853"/>
                      <a:gd name="connsiteY3" fmla="*/ 1177358 h 3608295"/>
                      <a:gd name="connsiteX4" fmla="*/ 481854 w 481853"/>
                      <a:gd name="connsiteY4" fmla="*/ 1217511 h 3608295"/>
                      <a:gd name="connsiteX5" fmla="*/ 240927 w 481853"/>
                      <a:gd name="connsiteY5" fmla="*/ 1257664 h 3608295"/>
                      <a:gd name="connsiteX6" fmla="*/ 240927 w 481853"/>
                      <a:gd name="connsiteY6" fmla="*/ 1765969 h 3608295"/>
                      <a:gd name="connsiteX7" fmla="*/ 240927 w 481853"/>
                      <a:gd name="connsiteY7" fmla="*/ 2366693 h 3608295"/>
                      <a:gd name="connsiteX8" fmla="*/ 240927 w 481853"/>
                      <a:gd name="connsiteY8" fmla="*/ 2874999 h 3608295"/>
                      <a:gd name="connsiteX9" fmla="*/ 240927 w 481853"/>
                      <a:gd name="connsiteY9" fmla="*/ 3568142 h 3608295"/>
                      <a:gd name="connsiteX10" fmla="*/ 0 w 481853"/>
                      <a:gd name="connsiteY10" fmla="*/ 3608295 h 360829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481853" h="3608295" stroke="0" extrusionOk="0">
                        <a:moveTo>
                          <a:pt x="0" y="0"/>
                        </a:moveTo>
                        <a:cubicBezTo>
                          <a:pt x="131089" y="248"/>
                          <a:pt x="239457" y="18662"/>
                          <a:pt x="240927" y="40153"/>
                        </a:cubicBezTo>
                        <a:cubicBezTo>
                          <a:pt x="254854" y="171930"/>
                          <a:pt x="190243" y="351734"/>
                          <a:pt x="240927" y="597383"/>
                        </a:cubicBezTo>
                        <a:cubicBezTo>
                          <a:pt x="291611" y="843032"/>
                          <a:pt x="201308" y="1029605"/>
                          <a:pt x="240927" y="1177358"/>
                        </a:cubicBezTo>
                        <a:cubicBezTo>
                          <a:pt x="238459" y="1191425"/>
                          <a:pt x="367072" y="1234522"/>
                          <a:pt x="481854" y="1217511"/>
                        </a:cubicBezTo>
                        <a:cubicBezTo>
                          <a:pt x="346044" y="1216053"/>
                          <a:pt x="240849" y="1234343"/>
                          <a:pt x="240927" y="1257664"/>
                        </a:cubicBezTo>
                        <a:cubicBezTo>
                          <a:pt x="295085" y="1423339"/>
                          <a:pt x="209245" y="1600641"/>
                          <a:pt x="240927" y="1765969"/>
                        </a:cubicBezTo>
                        <a:cubicBezTo>
                          <a:pt x="272609" y="1931297"/>
                          <a:pt x="208957" y="2067742"/>
                          <a:pt x="240927" y="2343589"/>
                        </a:cubicBezTo>
                        <a:cubicBezTo>
                          <a:pt x="272897" y="2619436"/>
                          <a:pt x="184052" y="2751313"/>
                          <a:pt x="240927" y="2898103"/>
                        </a:cubicBezTo>
                        <a:cubicBezTo>
                          <a:pt x="297802" y="3044893"/>
                          <a:pt x="181557" y="3385199"/>
                          <a:pt x="240927" y="3568142"/>
                        </a:cubicBezTo>
                        <a:cubicBezTo>
                          <a:pt x="267697" y="3598815"/>
                          <a:pt x="121091" y="3588264"/>
                          <a:pt x="0" y="3608295"/>
                        </a:cubicBezTo>
                        <a:cubicBezTo>
                          <a:pt x="-66658" y="3370436"/>
                          <a:pt x="60667" y="3223090"/>
                          <a:pt x="0" y="3020658"/>
                        </a:cubicBezTo>
                        <a:cubicBezTo>
                          <a:pt x="-60667" y="2818226"/>
                          <a:pt x="36565" y="2665929"/>
                          <a:pt x="0" y="2541271"/>
                        </a:cubicBezTo>
                        <a:cubicBezTo>
                          <a:pt x="-36565" y="2416613"/>
                          <a:pt x="31079" y="2314505"/>
                          <a:pt x="0" y="2134049"/>
                        </a:cubicBezTo>
                        <a:cubicBezTo>
                          <a:pt x="-31079" y="1953593"/>
                          <a:pt x="36623" y="1828673"/>
                          <a:pt x="0" y="1546412"/>
                        </a:cubicBezTo>
                        <a:cubicBezTo>
                          <a:pt x="-36623" y="1264151"/>
                          <a:pt x="41174" y="1178388"/>
                          <a:pt x="0" y="958776"/>
                        </a:cubicBezTo>
                        <a:cubicBezTo>
                          <a:pt x="-41174" y="739164"/>
                          <a:pt x="6736" y="673264"/>
                          <a:pt x="0" y="515471"/>
                        </a:cubicBezTo>
                        <a:cubicBezTo>
                          <a:pt x="-6736" y="357678"/>
                          <a:pt x="5744" y="141085"/>
                          <a:pt x="0" y="0"/>
                        </a:cubicBezTo>
                        <a:close/>
                      </a:path>
                      <a:path w="481853" h="3608295" fill="none" extrusionOk="0">
                        <a:moveTo>
                          <a:pt x="0" y="0"/>
                        </a:moveTo>
                        <a:cubicBezTo>
                          <a:pt x="138771" y="-2264"/>
                          <a:pt x="237779" y="21295"/>
                          <a:pt x="240927" y="40153"/>
                        </a:cubicBezTo>
                        <a:cubicBezTo>
                          <a:pt x="276736" y="259420"/>
                          <a:pt x="227420" y="424180"/>
                          <a:pt x="240927" y="586011"/>
                        </a:cubicBezTo>
                        <a:cubicBezTo>
                          <a:pt x="254434" y="747842"/>
                          <a:pt x="215291" y="895665"/>
                          <a:pt x="240927" y="1177358"/>
                        </a:cubicBezTo>
                        <a:cubicBezTo>
                          <a:pt x="243340" y="1204760"/>
                          <a:pt x="324180" y="1208813"/>
                          <a:pt x="481854" y="1217511"/>
                        </a:cubicBezTo>
                        <a:cubicBezTo>
                          <a:pt x="350871" y="1215728"/>
                          <a:pt x="245947" y="1235348"/>
                          <a:pt x="240927" y="1257664"/>
                        </a:cubicBezTo>
                        <a:cubicBezTo>
                          <a:pt x="281030" y="1388607"/>
                          <a:pt x="207643" y="1651195"/>
                          <a:pt x="240927" y="1765969"/>
                        </a:cubicBezTo>
                        <a:cubicBezTo>
                          <a:pt x="274211" y="1880744"/>
                          <a:pt x="168889" y="2155879"/>
                          <a:pt x="240927" y="2366693"/>
                        </a:cubicBezTo>
                        <a:cubicBezTo>
                          <a:pt x="312965" y="2577507"/>
                          <a:pt x="231267" y="2672134"/>
                          <a:pt x="240927" y="2874999"/>
                        </a:cubicBezTo>
                        <a:cubicBezTo>
                          <a:pt x="250587" y="3077864"/>
                          <a:pt x="224884" y="3340504"/>
                          <a:pt x="240927" y="3568142"/>
                        </a:cubicBezTo>
                        <a:cubicBezTo>
                          <a:pt x="250296" y="3617729"/>
                          <a:pt x="153818" y="3604941"/>
                          <a:pt x="0" y="3608295"/>
                        </a:cubicBezTo>
                      </a:path>
                    </a:pathLst>
                  </a:custGeom>
                  <ask:type>
                    <ask:lineSketchNone/>
                  </ask:type>
                </ask:lineSketchStyleProps>
              </a:ext>
            </a:extLst>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AU" sz="1100"/>
          </a:p>
        </xdr:txBody>
      </xdr:sp>
      <xdr:sp macro="" textlink="">
        <xdr:nvSpPr>
          <xdr:cNvPr id="42" name="Freeform: Shape 41">
            <a:extLst>
              <a:ext uri="{FF2B5EF4-FFF2-40B4-BE49-F238E27FC236}">
                <a16:creationId xmlns:a16="http://schemas.microsoft.com/office/drawing/2014/main" id="{0FCCA33F-FB46-49FD-806A-42C0209EA02E}"/>
              </a:ext>
            </a:extLst>
          </xdr:cNvPr>
          <xdr:cNvSpPr/>
        </xdr:nvSpPr>
        <xdr:spPr>
          <a:xfrm rot="7855516">
            <a:off x="11693706" y="676480"/>
            <a:ext cx="183346" cy="474684"/>
          </a:xfrm>
          <a:custGeom>
            <a:avLst/>
            <a:gdLst>
              <a:gd name="connsiteX0" fmla="*/ 0 w 717177"/>
              <a:gd name="connsiteY0" fmla="*/ 0 h 291353"/>
              <a:gd name="connsiteX1" fmla="*/ 168089 w 717177"/>
              <a:gd name="connsiteY1" fmla="*/ 190500 h 291353"/>
              <a:gd name="connsiteX2" fmla="*/ 717177 w 717177"/>
              <a:gd name="connsiteY2" fmla="*/ 291353 h 291353"/>
            </a:gdLst>
            <a:ahLst/>
            <a:cxnLst>
              <a:cxn ang="0">
                <a:pos x="connsiteX0" y="connsiteY0"/>
              </a:cxn>
              <a:cxn ang="0">
                <a:pos x="connsiteX1" y="connsiteY1"/>
              </a:cxn>
              <a:cxn ang="0">
                <a:pos x="connsiteX2" y="connsiteY2"/>
              </a:cxn>
            </a:cxnLst>
            <a:rect l="l" t="t" r="r" b="b"/>
            <a:pathLst>
              <a:path w="717177" h="291353">
                <a:moveTo>
                  <a:pt x="0" y="0"/>
                </a:moveTo>
                <a:cubicBezTo>
                  <a:pt x="24280" y="70970"/>
                  <a:pt x="48560" y="141941"/>
                  <a:pt x="168089" y="190500"/>
                </a:cubicBezTo>
                <a:cubicBezTo>
                  <a:pt x="287619" y="239059"/>
                  <a:pt x="502398" y="265206"/>
                  <a:pt x="717177" y="291353"/>
                </a:cubicBezTo>
              </a:path>
            </a:pathLst>
          </a:custGeom>
          <a:noFill/>
          <a:ln>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0</xdr:colOff>
      <xdr:row>28</xdr:row>
      <xdr:rowOff>3760</xdr:rowOff>
    </xdr:from>
    <xdr:to>
      <xdr:col>24</xdr:col>
      <xdr:colOff>0</xdr:colOff>
      <xdr:row>44</xdr:row>
      <xdr:rowOff>0</xdr:rowOff>
    </xdr:to>
    <xdr:graphicFrame macro="">
      <xdr:nvGraphicFramePr>
        <xdr:cNvPr id="91" name="Chart 90">
          <a:extLst>
            <a:ext uri="{FF2B5EF4-FFF2-40B4-BE49-F238E27FC236}">
              <a16:creationId xmlns:a16="http://schemas.microsoft.com/office/drawing/2014/main" id="{16D61901-F7FA-4264-A0FC-D32856238D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5</xdr:col>
      <xdr:colOff>36402</xdr:colOff>
      <xdr:row>2</xdr:row>
      <xdr:rowOff>121920</xdr:rowOff>
    </xdr:from>
    <xdr:to>
      <xdr:col>23</xdr:col>
      <xdr:colOff>411480</xdr:colOff>
      <xdr:row>25</xdr:row>
      <xdr:rowOff>80864</xdr:rowOff>
    </xdr:to>
    <xdr:grpSp>
      <xdr:nvGrpSpPr>
        <xdr:cNvPr id="2" name="Group 1">
          <a:extLst>
            <a:ext uri="{FF2B5EF4-FFF2-40B4-BE49-F238E27FC236}">
              <a16:creationId xmlns:a16="http://schemas.microsoft.com/office/drawing/2014/main" id="{18353B87-A5BB-4E6C-A0BB-8D8625B292CF}"/>
            </a:ext>
          </a:extLst>
        </xdr:cNvPr>
        <xdr:cNvGrpSpPr/>
      </xdr:nvGrpSpPr>
      <xdr:grpSpPr>
        <a:xfrm>
          <a:off x="2855802" y="436245"/>
          <a:ext cx="10271553" cy="4349969"/>
          <a:chOff x="2862152" y="439420"/>
          <a:chExt cx="10143495" cy="4351027"/>
        </a:xfrm>
      </xdr:grpSpPr>
      <xdr:sp macro="" textlink="">
        <xdr:nvSpPr>
          <xdr:cNvPr id="115" name="Right Brace 114">
            <a:extLst>
              <a:ext uri="{FF2B5EF4-FFF2-40B4-BE49-F238E27FC236}">
                <a16:creationId xmlns:a16="http://schemas.microsoft.com/office/drawing/2014/main" id="{7B6497CC-D997-439D-8CB2-83C5DB6D3FFF}"/>
              </a:ext>
            </a:extLst>
          </xdr:cNvPr>
          <xdr:cNvSpPr/>
        </xdr:nvSpPr>
        <xdr:spPr>
          <a:xfrm rot="5400000">
            <a:off x="7753346" y="-461854"/>
            <a:ext cx="361107" cy="10143495"/>
          </a:xfrm>
          <a:prstGeom prst="rightBrace">
            <a:avLst>
              <a:gd name="adj1" fmla="val 22287"/>
              <a:gd name="adj2" fmla="val 45767"/>
            </a:avLst>
          </a:prstGeom>
          <a:ln w="25400">
            <a:solidFill>
              <a:schemeClr val="bg2">
                <a:lumMod val="50000"/>
              </a:schemeClr>
            </a:solidFill>
            <a:extLst>
              <a:ext uri="{C807C97D-BFC1-408E-A445-0C87EB9F89A2}">
                <ask:lineSketchStyleProps xmlns:ask="http://schemas.microsoft.com/office/drawing/2018/sketchyshapes" sd="3705000160">
                  <a:custGeom>
                    <a:avLst/>
                    <a:gdLst>
                      <a:gd name="connsiteX0" fmla="*/ 0 w 481853"/>
                      <a:gd name="connsiteY0" fmla="*/ 0 h 3608295"/>
                      <a:gd name="connsiteX1" fmla="*/ 240927 w 481853"/>
                      <a:gd name="connsiteY1" fmla="*/ 40153 h 3608295"/>
                      <a:gd name="connsiteX2" fmla="*/ 240927 w 481853"/>
                      <a:gd name="connsiteY2" fmla="*/ 597383 h 3608295"/>
                      <a:gd name="connsiteX3" fmla="*/ 240927 w 481853"/>
                      <a:gd name="connsiteY3" fmla="*/ 1177358 h 3608295"/>
                      <a:gd name="connsiteX4" fmla="*/ 481854 w 481853"/>
                      <a:gd name="connsiteY4" fmla="*/ 1217511 h 3608295"/>
                      <a:gd name="connsiteX5" fmla="*/ 240927 w 481853"/>
                      <a:gd name="connsiteY5" fmla="*/ 1257664 h 3608295"/>
                      <a:gd name="connsiteX6" fmla="*/ 240927 w 481853"/>
                      <a:gd name="connsiteY6" fmla="*/ 1765969 h 3608295"/>
                      <a:gd name="connsiteX7" fmla="*/ 240927 w 481853"/>
                      <a:gd name="connsiteY7" fmla="*/ 2343589 h 3608295"/>
                      <a:gd name="connsiteX8" fmla="*/ 240927 w 481853"/>
                      <a:gd name="connsiteY8" fmla="*/ 2898103 h 3608295"/>
                      <a:gd name="connsiteX9" fmla="*/ 240927 w 481853"/>
                      <a:gd name="connsiteY9" fmla="*/ 3568142 h 3608295"/>
                      <a:gd name="connsiteX10" fmla="*/ 0 w 481853"/>
                      <a:gd name="connsiteY10" fmla="*/ 3608295 h 3608295"/>
                      <a:gd name="connsiteX11" fmla="*/ 0 w 481853"/>
                      <a:gd name="connsiteY11" fmla="*/ 3020658 h 3608295"/>
                      <a:gd name="connsiteX12" fmla="*/ 0 w 481853"/>
                      <a:gd name="connsiteY12" fmla="*/ 2541271 h 3608295"/>
                      <a:gd name="connsiteX13" fmla="*/ 0 w 481853"/>
                      <a:gd name="connsiteY13" fmla="*/ 2134049 h 3608295"/>
                      <a:gd name="connsiteX14" fmla="*/ 0 w 481853"/>
                      <a:gd name="connsiteY14" fmla="*/ 1546412 h 3608295"/>
                      <a:gd name="connsiteX15" fmla="*/ 0 w 481853"/>
                      <a:gd name="connsiteY15" fmla="*/ 958776 h 3608295"/>
                      <a:gd name="connsiteX16" fmla="*/ 0 w 481853"/>
                      <a:gd name="connsiteY16" fmla="*/ 515471 h 3608295"/>
                      <a:gd name="connsiteX17" fmla="*/ 0 w 481853"/>
                      <a:gd name="connsiteY17" fmla="*/ 0 h 3608295"/>
                      <a:gd name="connsiteX0" fmla="*/ 0 w 481853"/>
                      <a:gd name="connsiteY0" fmla="*/ 0 h 3608295"/>
                      <a:gd name="connsiteX1" fmla="*/ 240927 w 481853"/>
                      <a:gd name="connsiteY1" fmla="*/ 40153 h 3608295"/>
                      <a:gd name="connsiteX2" fmla="*/ 240927 w 481853"/>
                      <a:gd name="connsiteY2" fmla="*/ 586011 h 3608295"/>
                      <a:gd name="connsiteX3" fmla="*/ 240927 w 481853"/>
                      <a:gd name="connsiteY3" fmla="*/ 1177358 h 3608295"/>
                      <a:gd name="connsiteX4" fmla="*/ 481854 w 481853"/>
                      <a:gd name="connsiteY4" fmla="*/ 1217511 h 3608295"/>
                      <a:gd name="connsiteX5" fmla="*/ 240927 w 481853"/>
                      <a:gd name="connsiteY5" fmla="*/ 1257664 h 3608295"/>
                      <a:gd name="connsiteX6" fmla="*/ 240927 w 481853"/>
                      <a:gd name="connsiteY6" fmla="*/ 1765969 h 3608295"/>
                      <a:gd name="connsiteX7" fmla="*/ 240927 w 481853"/>
                      <a:gd name="connsiteY7" fmla="*/ 2366693 h 3608295"/>
                      <a:gd name="connsiteX8" fmla="*/ 240927 w 481853"/>
                      <a:gd name="connsiteY8" fmla="*/ 2874999 h 3608295"/>
                      <a:gd name="connsiteX9" fmla="*/ 240927 w 481853"/>
                      <a:gd name="connsiteY9" fmla="*/ 3568142 h 3608295"/>
                      <a:gd name="connsiteX10" fmla="*/ 0 w 481853"/>
                      <a:gd name="connsiteY10" fmla="*/ 3608295 h 360829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481853" h="3608295" stroke="0" extrusionOk="0">
                        <a:moveTo>
                          <a:pt x="0" y="0"/>
                        </a:moveTo>
                        <a:cubicBezTo>
                          <a:pt x="131089" y="248"/>
                          <a:pt x="239457" y="18662"/>
                          <a:pt x="240927" y="40153"/>
                        </a:cubicBezTo>
                        <a:cubicBezTo>
                          <a:pt x="254854" y="171930"/>
                          <a:pt x="190243" y="351734"/>
                          <a:pt x="240927" y="597383"/>
                        </a:cubicBezTo>
                        <a:cubicBezTo>
                          <a:pt x="291611" y="843032"/>
                          <a:pt x="201308" y="1029605"/>
                          <a:pt x="240927" y="1177358"/>
                        </a:cubicBezTo>
                        <a:cubicBezTo>
                          <a:pt x="238459" y="1191425"/>
                          <a:pt x="367072" y="1234522"/>
                          <a:pt x="481854" y="1217511"/>
                        </a:cubicBezTo>
                        <a:cubicBezTo>
                          <a:pt x="346044" y="1216053"/>
                          <a:pt x="240849" y="1234343"/>
                          <a:pt x="240927" y="1257664"/>
                        </a:cubicBezTo>
                        <a:cubicBezTo>
                          <a:pt x="295085" y="1423339"/>
                          <a:pt x="209245" y="1600641"/>
                          <a:pt x="240927" y="1765969"/>
                        </a:cubicBezTo>
                        <a:cubicBezTo>
                          <a:pt x="272609" y="1931297"/>
                          <a:pt x="208957" y="2067742"/>
                          <a:pt x="240927" y="2343589"/>
                        </a:cubicBezTo>
                        <a:cubicBezTo>
                          <a:pt x="272897" y="2619436"/>
                          <a:pt x="184052" y="2751313"/>
                          <a:pt x="240927" y="2898103"/>
                        </a:cubicBezTo>
                        <a:cubicBezTo>
                          <a:pt x="297802" y="3044893"/>
                          <a:pt x="181557" y="3385199"/>
                          <a:pt x="240927" y="3568142"/>
                        </a:cubicBezTo>
                        <a:cubicBezTo>
                          <a:pt x="267697" y="3598815"/>
                          <a:pt x="121091" y="3588264"/>
                          <a:pt x="0" y="3608295"/>
                        </a:cubicBezTo>
                        <a:cubicBezTo>
                          <a:pt x="-66658" y="3370436"/>
                          <a:pt x="60667" y="3223090"/>
                          <a:pt x="0" y="3020658"/>
                        </a:cubicBezTo>
                        <a:cubicBezTo>
                          <a:pt x="-60667" y="2818226"/>
                          <a:pt x="36565" y="2665929"/>
                          <a:pt x="0" y="2541271"/>
                        </a:cubicBezTo>
                        <a:cubicBezTo>
                          <a:pt x="-36565" y="2416613"/>
                          <a:pt x="31079" y="2314505"/>
                          <a:pt x="0" y="2134049"/>
                        </a:cubicBezTo>
                        <a:cubicBezTo>
                          <a:pt x="-31079" y="1953593"/>
                          <a:pt x="36623" y="1828673"/>
                          <a:pt x="0" y="1546412"/>
                        </a:cubicBezTo>
                        <a:cubicBezTo>
                          <a:pt x="-36623" y="1264151"/>
                          <a:pt x="41174" y="1178388"/>
                          <a:pt x="0" y="958776"/>
                        </a:cubicBezTo>
                        <a:cubicBezTo>
                          <a:pt x="-41174" y="739164"/>
                          <a:pt x="6736" y="673264"/>
                          <a:pt x="0" y="515471"/>
                        </a:cubicBezTo>
                        <a:cubicBezTo>
                          <a:pt x="-6736" y="357678"/>
                          <a:pt x="5744" y="141085"/>
                          <a:pt x="0" y="0"/>
                        </a:cubicBezTo>
                        <a:close/>
                      </a:path>
                      <a:path w="481853" h="3608295" fill="none" extrusionOk="0">
                        <a:moveTo>
                          <a:pt x="0" y="0"/>
                        </a:moveTo>
                        <a:cubicBezTo>
                          <a:pt x="138771" y="-2264"/>
                          <a:pt x="237779" y="21295"/>
                          <a:pt x="240927" y="40153"/>
                        </a:cubicBezTo>
                        <a:cubicBezTo>
                          <a:pt x="276736" y="259420"/>
                          <a:pt x="227420" y="424180"/>
                          <a:pt x="240927" y="586011"/>
                        </a:cubicBezTo>
                        <a:cubicBezTo>
                          <a:pt x="254434" y="747842"/>
                          <a:pt x="215291" y="895665"/>
                          <a:pt x="240927" y="1177358"/>
                        </a:cubicBezTo>
                        <a:cubicBezTo>
                          <a:pt x="243340" y="1204760"/>
                          <a:pt x="324180" y="1208813"/>
                          <a:pt x="481854" y="1217511"/>
                        </a:cubicBezTo>
                        <a:cubicBezTo>
                          <a:pt x="350871" y="1215728"/>
                          <a:pt x="245947" y="1235348"/>
                          <a:pt x="240927" y="1257664"/>
                        </a:cubicBezTo>
                        <a:cubicBezTo>
                          <a:pt x="281030" y="1388607"/>
                          <a:pt x="207643" y="1651195"/>
                          <a:pt x="240927" y="1765969"/>
                        </a:cubicBezTo>
                        <a:cubicBezTo>
                          <a:pt x="274211" y="1880744"/>
                          <a:pt x="168889" y="2155879"/>
                          <a:pt x="240927" y="2366693"/>
                        </a:cubicBezTo>
                        <a:cubicBezTo>
                          <a:pt x="312965" y="2577507"/>
                          <a:pt x="231267" y="2672134"/>
                          <a:pt x="240927" y="2874999"/>
                        </a:cubicBezTo>
                        <a:cubicBezTo>
                          <a:pt x="250587" y="3077864"/>
                          <a:pt x="224884" y="3340504"/>
                          <a:pt x="240927" y="3568142"/>
                        </a:cubicBezTo>
                        <a:cubicBezTo>
                          <a:pt x="250296" y="3617729"/>
                          <a:pt x="153818" y="3604941"/>
                          <a:pt x="0" y="3608295"/>
                        </a:cubicBezTo>
                      </a:path>
                    </a:pathLst>
                  </a:custGeom>
                  <ask:type>
                    <ask:lineSketchNone/>
                  </ask:type>
                </ask:lineSketchStyleProps>
              </a:ext>
            </a:extLst>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AU" sz="1100"/>
          </a:p>
        </xdr:txBody>
      </xdr:sp>
      <xdr:grpSp>
        <xdr:nvGrpSpPr>
          <xdr:cNvPr id="118" name="Group 117">
            <a:extLst>
              <a:ext uri="{FF2B5EF4-FFF2-40B4-BE49-F238E27FC236}">
                <a16:creationId xmlns:a16="http://schemas.microsoft.com/office/drawing/2014/main" id="{B2BD87D4-D165-4EFE-9598-6E5DFCA2D32D}"/>
              </a:ext>
            </a:extLst>
          </xdr:cNvPr>
          <xdr:cNvGrpSpPr/>
        </xdr:nvGrpSpPr>
        <xdr:grpSpPr>
          <a:xfrm>
            <a:off x="2954655" y="439420"/>
            <a:ext cx="8655659" cy="3088008"/>
            <a:chOff x="3946525" y="632460"/>
            <a:chExt cx="8212720" cy="3732702"/>
          </a:xfrm>
        </xdr:grpSpPr>
        <xdr:grpSp>
          <xdr:nvGrpSpPr>
            <xdr:cNvPr id="78" name="Group 77">
              <a:extLst>
                <a:ext uri="{FF2B5EF4-FFF2-40B4-BE49-F238E27FC236}">
                  <a16:creationId xmlns:a16="http://schemas.microsoft.com/office/drawing/2014/main" id="{D046E910-1E67-46EE-BF0F-A5FF7150B58B}"/>
                </a:ext>
              </a:extLst>
            </xdr:cNvPr>
            <xdr:cNvGrpSpPr/>
          </xdr:nvGrpSpPr>
          <xdr:grpSpPr>
            <a:xfrm>
              <a:off x="4487271" y="1855001"/>
              <a:ext cx="6881346" cy="1979133"/>
              <a:chOff x="1066799" y="879124"/>
              <a:chExt cx="8314269" cy="1967590"/>
            </a:xfrm>
          </xdr:grpSpPr>
          <xdr:sp macro="" textlink="">
            <xdr:nvSpPr>
              <xdr:cNvPr id="79" name="Freeform: Shape 78">
                <a:extLst>
                  <a:ext uri="{FF2B5EF4-FFF2-40B4-BE49-F238E27FC236}">
                    <a16:creationId xmlns:a16="http://schemas.microsoft.com/office/drawing/2014/main" id="{23D4B557-68B3-4892-8362-39E4A90BC11C}"/>
                  </a:ext>
                </a:extLst>
              </xdr:cNvPr>
              <xdr:cNvSpPr/>
            </xdr:nvSpPr>
            <xdr:spPr>
              <a:xfrm>
                <a:off x="1066799" y="879124"/>
                <a:ext cx="8314269" cy="1967590"/>
              </a:xfrm>
              <a:custGeom>
                <a:avLst/>
                <a:gdLst>
                  <a:gd name="connsiteX0" fmla="*/ 211667 w 6993467"/>
                  <a:gd name="connsiteY0" fmla="*/ 1659467 h 2010833"/>
                  <a:gd name="connsiteX1" fmla="*/ 867833 w 6993467"/>
                  <a:gd name="connsiteY1" fmla="*/ 1663700 h 2010833"/>
                  <a:gd name="connsiteX2" fmla="*/ 1138767 w 6993467"/>
                  <a:gd name="connsiteY2" fmla="*/ 1062567 h 2010833"/>
                  <a:gd name="connsiteX3" fmla="*/ 2142067 w 6993467"/>
                  <a:gd name="connsiteY3" fmla="*/ 1066800 h 2010833"/>
                  <a:gd name="connsiteX4" fmla="*/ 6993467 w 6993467"/>
                  <a:gd name="connsiteY4" fmla="*/ 0 h 2010833"/>
                  <a:gd name="connsiteX5" fmla="*/ 6993467 w 6993467"/>
                  <a:gd name="connsiteY5" fmla="*/ 2010833 h 2010833"/>
                  <a:gd name="connsiteX6" fmla="*/ 59267 w 6993467"/>
                  <a:gd name="connsiteY6" fmla="*/ 2010833 h 2010833"/>
                  <a:gd name="connsiteX7" fmla="*/ 0 w 6993467"/>
                  <a:gd name="connsiteY7" fmla="*/ 1066800 h 2010833"/>
                  <a:gd name="connsiteX8" fmla="*/ 114300 w 6993467"/>
                  <a:gd name="connsiteY8" fmla="*/ 1066800 h 2010833"/>
                  <a:gd name="connsiteX9" fmla="*/ 211667 w 6993467"/>
                  <a:gd name="connsiteY9" fmla="*/ 1659467 h 2010833"/>
                  <a:gd name="connsiteX0" fmla="*/ 211667 w 6993467"/>
                  <a:gd name="connsiteY0" fmla="*/ 1659467 h 2010833"/>
                  <a:gd name="connsiteX1" fmla="*/ 867833 w 6993467"/>
                  <a:gd name="connsiteY1" fmla="*/ 1663700 h 2010833"/>
                  <a:gd name="connsiteX2" fmla="*/ 1138767 w 6993467"/>
                  <a:gd name="connsiteY2" fmla="*/ 1062567 h 2010833"/>
                  <a:gd name="connsiteX3" fmla="*/ 2142067 w 6993467"/>
                  <a:gd name="connsiteY3" fmla="*/ 1066800 h 2010833"/>
                  <a:gd name="connsiteX4" fmla="*/ 6993467 w 6993467"/>
                  <a:gd name="connsiteY4" fmla="*/ 0 h 2010833"/>
                  <a:gd name="connsiteX5" fmla="*/ 6993467 w 6993467"/>
                  <a:gd name="connsiteY5" fmla="*/ 1050787 h 2010833"/>
                  <a:gd name="connsiteX6" fmla="*/ 59267 w 6993467"/>
                  <a:gd name="connsiteY6" fmla="*/ 2010833 h 2010833"/>
                  <a:gd name="connsiteX7" fmla="*/ 0 w 6993467"/>
                  <a:gd name="connsiteY7" fmla="*/ 1066800 h 2010833"/>
                  <a:gd name="connsiteX8" fmla="*/ 114300 w 6993467"/>
                  <a:gd name="connsiteY8" fmla="*/ 1066800 h 2010833"/>
                  <a:gd name="connsiteX9" fmla="*/ 211667 w 6993467"/>
                  <a:gd name="connsiteY9" fmla="*/ 1659467 h 2010833"/>
                  <a:gd name="connsiteX0" fmla="*/ 211667 w 6993467"/>
                  <a:gd name="connsiteY0" fmla="*/ 1659467 h 2010833"/>
                  <a:gd name="connsiteX1" fmla="*/ 867833 w 6993467"/>
                  <a:gd name="connsiteY1" fmla="*/ 1663700 h 2010833"/>
                  <a:gd name="connsiteX2" fmla="*/ 1138767 w 6993467"/>
                  <a:gd name="connsiteY2" fmla="*/ 1062567 h 2010833"/>
                  <a:gd name="connsiteX3" fmla="*/ 2142067 w 6993467"/>
                  <a:gd name="connsiteY3" fmla="*/ 1066800 h 2010833"/>
                  <a:gd name="connsiteX4" fmla="*/ 6993467 w 6993467"/>
                  <a:gd name="connsiteY4" fmla="*/ 0 h 2010833"/>
                  <a:gd name="connsiteX5" fmla="*/ 6993467 w 6993467"/>
                  <a:gd name="connsiteY5" fmla="*/ 1050787 h 2010833"/>
                  <a:gd name="connsiteX6" fmla="*/ 4150038 w 6993467"/>
                  <a:gd name="connsiteY6" fmla="*/ 1417111 h 2010833"/>
                  <a:gd name="connsiteX7" fmla="*/ 59267 w 6993467"/>
                  <a:gd name="connsiteY7" fmla="*/ 2010833 h 2010833"/>
                  <a:gd name="connsiteX8" fmla="*/ 0 w 6993467"/>
                  <a:gd name="connsiteY8" fmla="*/ 1066800 h 2010833"/>
                  <a:gd name="connsiteX9" fmla="*/ 114300 w 6993467"/>
                  <a:gd name="connsiteY9" fmla="*/ 1066800 h 2010833"/>
                  <a:gd name="connsiteX10" fmla="*/ 211667 w 6993467"/>
                  <a:gd name="connsiteY10" fmla="*/ 1659467 h 2010833"/>
                  <a:gd name="connsiteX0" fmla="*/ 211667 w 6993467"/>
                  <a:gd name="connsiteY0" fmla="*/ 1659467 h 2010833"/>
                  <a:gd name="connsiteX1" fmla="*/ 867833 w 6993467"/>
                  <a:gd name="connsiteY1" fmla="*/ 1663700 h 2010833"/>
                  <a:gd name="connsiteX2" fmla="*/ 1138767 w 6993467"/>
                  <a:gd name="connsiteY2" fmla="*/ 1062567 h 2010833"/>
                  <a:gd name="connsiteX3" fmla="*/ 2142067 w 6993467"/>
                  <a:gd name="connsiteY3" fmla="*/ 1066800 h 2010833"/>
                  <a:gd name="connsiteX4" fmla="*/ 6993467 w 6993467"/>
                  <a:gd name="connsiteY4" fmla="*/ 0 h 2010833"/>
                  <a:gd name="connsiteX5" fmla="*/ 6993467 w 6993467"/>
                  <a:gd name="connsiteY5" fmla="*/ 1050787 h 2010833"/>
                  <a:gd name="connsiteX6" fmla="*/ 2503414 w 6993467"/>
                  <a:gd name="connsiteY6" fmla="*/ 1795591 h 2010833"/>
                  <a:gd name="connsiteX7" fmla="*/ 59267 w 6993467"/>
                  <a:gd name="connsiteY7" fmla="*/ 2010833 h 2010833"/>
                  <a:gd name="connsiteX8" fmla="*/ 0 w 6993467"/>
                  <a:gd name="connsiteY8" fmla="*/ 1066800 h 2010833"/>
                  <a:gd name="connsiteX9" fmla="*/ 114300 w 6993467"/>
                  <a:gd name="connsiteY9" fmla="*/ 1066800 h 2010833"/>
                  <a:gd name="connsiteX10" fmla="*/ 211667 w 6993467"/>
                  <a:gd name="connsiteY10" fmla="*/ 1659467 h 2010833"/>
                  <a:gd name="connsiteX0" fmla="*/ 211667 w 6993467"/>
                  <a:gd name="connsiteY0" fmla="*/ 1659467 h 1807747"/>
                  <a:gd name="connsiteX1" fmla="*/ 867833 w 6993467"/>
                  <a:gd name="connsiteY1" fmla="*/ 1663700 h 1807747"/>
                  <a:gd name="connsiteX2" fmla="*/ 1138767 w 6993467"/>
                  <a:gd name="connsiteY2" fmla="*/ 1062567 h 1807747"/>
                  <a:gd name="connsiteX3" fmla="*/ 2142067 w 6993467"/>
                  <a:gd name="connsiteY3" fmla="*/ 1066800 h 1807747"/>
                  <a:gd name="connsiteX4" fmla="*/ 6993467 w 6993467"/>
                  <a:gd name="connsiteY4" fmla="*/ 0 h 1807747"/>
                  <a:gd name="connsiteX5" fmla="*/ 6993467 w 6993467"/>
                  <a:gd name="connsiteY5" fmla="*/ 1050787 h 1807747"/>
                  <a:gd name="connsiteX6" fmla="*/ 2503414 w 6993467"/>
                  <a:gd name="connsiteY6" fmla="*/ 1795591 h 1807747"/>
                  <a:gd name="connsiteX7" fmla="*/ 76785 w 6993467"/>
                  <a:gd name="connsiteY7" fmla="*/ 1807747 h 1807747"/>
                  <a:gd name="connsiteX8" fmla="*/ 0 w 6993467"/>
                  <a:gd name="connsiteY8" fmla="*/ 1066800 h 1807747"/>
                  <a:gd name="connsiteX9" fmla="*/ 114300 w 6993467"/>
                  <a:gd name="connsiteY9" fmla="*/ 1066800 h 1807747"/>
                  <a:gd name="connsiteX10" fmla="*/ 211667 w 6993467"/>
                  <a:gd name="connsiteY10" fmla="*/ 1659467 h 1807747"/>
                  <a:gd name="connsiteX0" fmla="*/ 211667 w 6993467"/>
                  <a:gd name="connsiteY0" fmla="*/ 1659467 h 1807747"/>
                  <a:gd name="connsiteX1" fmla="*/ 867833 w 6993467"/>
                  <a:gd name="connsiteY1" fmla="*/ 1663700 h 1807747"/>
                  <a:gd name="connsiteX2" fmla="*/ 1138767 w 6993467"/>
                  <a:gd name="connsiteY2" fmla="*/ 1062567 h 1807747"/>
                  <a:gd name="connsiteX3" fmla="*/ 2142067 w 6993467"/>
                  <a:gd name="connsiteY3" fmla="*/ 1066800 h 1807747"/>
                  <a:gd name="connsiteX4" fmla="*/ 6993467 w 6993467"/>
                  <a:gd name="connsiteY4" fmla="*/ 0 h 1807747"/>
                  <a:gd name="connsiteX5" fmla="*/ 6993467 w 6993467"/>
                  <a:gd name="connsiteY5" fmla="*/ 1050787 h 1807747"/>
                  <a:gd name="connsiteX6" fmla="*/ 1504929 w 6993467"/>
                  <a:gd name="connsiteY6" fmla="*/ 1786360 h 1807747"/>
                  <a:gd name="connsiteX7" fmla="*/ 76785 w 6993467"/>
                  <a:gd name="connsiteY7" fmla="*/ 1807747 h 1807747"/>
                  <a:gd name="connsiteX8" fmla="*/ 0 w 6993467"/>
                  <a:gd name="connsiteY8" fmla="*/ 1066800 h 1807747"/>
                  <a:gd name="connsiteX9" fmla="*/ 114300 w 6993467"/>
                  <a:gd name="connsiteY9" fmla="*/ 1066800 h 1807747"/>
                  <a:gd name="connsiteX10" fmla="*/ 211667 w 6993467"/>
                  <a:gd name="connsiteY10" fmla="*/ 1659467 h 1807747"/>
                  <a:gd name="connsiteX0" fmla="*/ 211667 w 6993467"/>
                  <a:gd name="connsiteY0" fmla="*/ 1659467 h 1807747"/>
                  <a:gd name="connsiteX1" fmla="*/ 867833 w 6993467"/>
                  <a:gd name="connsiteY1" fmla="*/ 1663700 h 1807747"/>
                  <a:gd name="connsiteX2" fmla="*/ 1138767 w 6993467"/>
                  <a:gd name="connsiteY2" fmla="*/ 1062567 h 1807747"/>
                  <a:gd name="connsiteX3" fmla="*/ 2142067 w 6993467"/>
                  <a:gd name="connsiteY3" fmla="*/ 1066800 h 1807747"/>
                  <a:gd name="connsiteX4" fmla="*/ 6993467 w 6993467"/>
                  <a:gd name="connsiteY4" fmla="*/ 0 h 1807747"/>
                  <a:gd name="connsiteX5" fmla="*/ 6984708 w 6993467"/>
                  <a:gd name="connsiteY5" fmla="*/ 672308 h 1807747"/>
                  <a:gd name="connsiteX6" fmla="*/ 1504929 w 6993467"/>
                  <a:gd name="connsiteY6" fmla="*/ 1786360 h 1807747"/>
                  <a:gd name="connsiteX7" fmla="*/ 76785 w 6993467"/>
                  <a:gd name="connsiteY7" fmla="*/ 1807747 h 1807747"/>
                  <a:gd name="connsiteX8" fmla="*/ 0 w 6993467"/>
                  <a:gd name="connsiteY8" fmla="*/ 1066800 h 1807747"/>
                  <a:gd name="connsiteX9" fmla="*/ 114300 w 6993467"/>
                  <a:gd name="connsiteY9" fmla="*/ 1066800 h 1807747"/>
                  <a:gd name="connsiteX10" fmla="*/ 211667 w 6993467"/>
                  <a:gd name="connsiteY10" fmla="*/ 1659467 h 1807747"/>
                  <a:gd name="connsiteX0" fmla="*/ 211667 w 6993467"/>
                  <a:gd name="connsiteY0" fmla="*/ 1659467 h 1807747"/>
                  <a:gd name="connsiteX1" fmla="*/ 867833 w 6993467"/>
                  <a:gd name="connsiteY1" fmla="*/ 1663700 h 1807747"/>
                  <a:gd name="connsiteX2" fmla="*/ 1138767 w 6993467"/>
                  <a:gd name="connsiteY2" fmla="*/ 1062567 h 1807747"/>
                  <a:gd name="connsiteX3" fmla="*/ 2142067 w 6993467"/>
                  <a:gd name="connsiteY3" fmla="*/ 1066800 h 1807747"/>
                  <a:gd name="connsiteX4" fmla="*/ 6993467 w 6993467"/>
                  <a:gd name="connsiteY4" fmla="*/ 0 h 1807747"/>
                  <a:gd name="connsiteX5" fmla="*/ 6984708 w 6993467"/>
                  <a:gd name="connsiteY5" fmla="*/ 672308 h 1807747"/>
                  <a:gd name="connsiteX6" fmla="*/ 3528174 w 6993467"/>
                  <a:gd name="connsiteY6" fmla="*/ 1380187 h 1807747"/>
                  <a:gd name="connsiteX7" fmla="*/ 1504929 w 6993467"/>
                  <a:gd name="connsiteY7" fmla="*/ 1786360 h 1807747"/>
                  <a:gd name="connsiteX8" fmla="*/ 76785 w 6993467"/>
                  <a:gd name="connsiteY8" fmla="*/ 1807747 h 1807747"/>
                  <a:gd name="connsiteX9" fmla="*/ 0 w 6993467"/>
                  <a:gd name="connsiteY9" fmla="*/ 1066800 h 1807747"/>
                  <a:gd name="connsiteX10" fmla="*/ 114300 w 6993467"/>
                  <a:gd name="connsiteY10" fmla="*/ 1066800 h 1807747"/>
                  <a:gd name="connsiteX11" fmla="*/ 211667 w 6993467"/>
                  <a:gd name="connsiteY11" fmla="*/ 1659467 h 1807747"/>
                  <a:gd name="connsiteX0" fmla="*/ 211667 w 6993467"/>
                  <a:gd name="connsiteY0" fmla="*/ 1659467 h 1807747"/>
                  <a:gd name="connsiteX1" fmla="*/ 867833 w 6993467"/>
                  <a:gd name="connsiteY1" fmla="*/ 1663700 h 1807747"/>
                  <a:gd name="connsiteX2" fmla="*/ 1138767 w 6993467"/>
                  <a:gd name="connsiteY2" fmla="*/ 1062567 h 1807747"/>
                  <a:gd name="connsiteX3" fmla="*/ 2142067 w 6993467"/>
                  <a:gd name="connsiteY3" fmla="*/ 1066800 h 1807747"/>
                  <a:gd name="connsiteX4" fmla="*/ 6993467 w 6993467"/>
                  <a:gd name="connsiteY4" fmla="*/ 0 h 1807747"/>
                  <a:gd name="connsiteX5" fmla="*/ 6984708 w 6993467"/>
                  <a:gd name="connsiteY5" fmla="*/ 672308 h 1807747"/>
                  <a:gd name="connsiteX6" fmla="*/ 2626034 w 6993467"/>
                  <a:gd name="connsiteY6" fmla="*/ 1574043 h 1807747"/>
                  <a:gd name="connsiteX7" fmla="*/ 1504929 w 6993467"/>
                  <a:gd name="connsiteY7" fmla="*/ 1786360 h 1807747"/>
                  <a:gd name="connsiteX8" fmla="*/ 76785 w 6993467"/>
                  <a:gd name="connsiteY8" fmla="*/ 1807747 h 1807747"/>
                  <a:gd name="connsiteX9" fmla="*/ 0 w 6993467"/>
                  <a:gd name="connsiteY9" fmla="*/ 1066800 h 1807747"/>
                  <a:gd name="connsiteX10" fmla="*/ 114300 w 6993467"/>
                  <a:gd name="connsiteY10" fmla="*/ 1066800 h 1807747"/>
                  <a:gd name="connsiteX11" fmla="*/ 211667 w 6993467"/>
                  <a:gd name="connsiteY11" fmla="*/ 1659467 h 1807747"/>
                  <a:gd name="connsiteX0" fmla="*/ 211667 w 6993467"/>
                  <a:gd name="connsiteY0" fmla="*/ 1659467 h 1807747"/>
                  <a:gd name="connsiteX1" fmla="*/ 867833 w 6993467"/>
                  <a:gd name="connsiteY1" fmla="*/ 1663700 h 1807747"/>
                  <a:gd name="connsiteX2" fmla="*/ 1138767 w 6993467"/>
                  <a:gd name="connsiteY2" fmla="*/ 1062567 h 1807747"/>
                  <a:gd name="connsiteX3" fmla="*/ 2142067 w 6993467"/>
                  <a:gd name="connsiteY3" fmla="*/ 1066800 h 1807747"/>
                  <a:gd name="connsiteX4" fmla="*/ 6993467 w 6993467"/>
                  <a:gd name="connsiteY4" fmla="*/ 0 h 1807747"/>
                  <a:gd name="connsiteX5" fmla="*/ 6975950 w 6993467"/>
                  <a:gd name="connsiteY5" fmla="*/ 1420037 h 1807747"/>
                  <a:gd name="connsiteX6" fmla="*/ 2626034 w 6993467"/>
                  <a:gd name="connsiteY6" fmla="*/ 1574043 h 1807747"/>
                  <a:gd name="connsiteX7" fmla="*/ 1504929 w 6993467"/>
                  <a:gd name="connsiteY7" fmla="*/ 1786360 h 1807747"/>
                  <a:gd name="connsiteX8" fmla="*/ 76785 w 6993467"/>
                  <a:gd name="connsiteY8" fmla="*/ 1807747 h 1807747"/>
                  <a:gd name="connsiteX9" fmla="*/ 0 w 6993467"/>
                  <a:gd name="connsiteY9" fmla="*/ 1066800 h 1807747"/>
                  <a:gd name="connsiteX10" fmla="*/ 114300 w 6993467"/>
                  <a:gd name="connsiteY10" fmla="*/ 1066800 h 1807747"/>
                  <a:gd name="connsiteX11" fmla="*/ 211667 w 6993467"/>
                  <a:gd name="connsiteY11" fmla="*/ 1659467 h 1807747"/>
                  <a:gd name="connsiteX0" fmla="*/ 211667 w 6993467"/>
                  <a:gd name="connsiteY0" fmla="*/ 1659467 h 1807747"/>
                  <a:gd name="connsiteX1" fmla="*/ 867833 w 6993467"/>
                  <a:gd name="connsiteY1" fmla="*/ 1663700 h 1807747"/>
                  <a:gd name="connsiteX2" fmla="*/ 1138767 w 6993467"/>
                  <a:gd name="connsiteY2" fmla="*/ 1062567 h 1807747"/>
                  <a:gd name="connsiteX3" fmla="*/ 2142067 w 6993467"/>
                  <a:gd name="connsiteY3" fmla="*/ 1066800 h 1807747"/>
                  <a:gd name="connsiteX4" fmla="*/ 6993467 w 6993467"/>
                  <a:gd name="connsiteY4" fmla="*/ 0 h 1807747"/>
                  <a:gd name="connsiteX5" fmla="*/ 6975950 w 6993467"/>
                  <a:gd name="connsiteY5" fmla="*/ 1420037 h 1807747"/>
                  <a:gd name="connsiteX6" fmla="*/ 2599759 w 6993467"/>
                  <a:gd name="connsiteY6" fmla="*/ 1463268 h 1807747"/>
                  <a:gd name="connsiteX7" fmla="*/ 1504929 w 6993467"/>
                  <a:gd name="connsiteY7" fmla="*/ 1786360 h 1807747"/>
                  <a:gd name="connsiteX8" fmla="*/ 76785 w 6993467"/>
                  <a:gd name="connsiteY8" fmla="*/ 1807747 h 1807747"/>
                  <a:gd name="connsiteX9" fmla="*/ 0 w 6993467"/>
                  <a:gd name="connsiteY9" fmla="*/ 1066800 h 1807747"/>
                  <a:gd name="connsiteX10" fmla="*/ 114300 w 6993467"/>
                  <a:gd name="connsiteY10" fmla="*/ 1066800 h 1807747"/>
                  <a:gd name="connsiteX11" fmla="*/ 211667 w 6993467"/>
                  <a:gd name="connsiteY11" fmla="*/ 1659467 h 1807747"/>
                  <a:gd name="connsiteX0" fmla="*/ 211667 w 6993467"/>
                  <a:gd name="connsiteY0" fmla="*/ 1659467 h 1814054"/>
                  <a:gd name="connsiteX1" fmla="*/ 867833 w 6993467"/>
                  <a:gd name="connsiteY1" fmla="*/ 1663700 h 1814054"/>
                  <a:gd name="connsiteX2" fmla="*/ 1138767 w 6993467"/>
                  <a:gd name="connsiteY2" fmla="*/ 1062567 h 1814054"/>
                  <a:gd name="connsiteX3" fmla="*/ 2142067 w 6993467"/>
                  <a:gd name="connsiteY3" fmla="*/ 1066800 h 1814054"/>
                  <a:gd name="connsiteX4" fmla="*/ 6993467 w 6993467"/>
                  <a:gd name="connsiteY4" fmla="*/ 0 h 1814054"/>
                  <a:gd name="connsiteX5" fmla="*/ 6975950 w 6993467"/>
                  <a:gd name="connsiteY5" fmla="*/ 1420037 h 1814054"/>
                  <a:gd name="connsiteX6" fmla="*/ 2599759 w 6993467"/>
                  <a:gd name="connsiteY6" fmla="*/ 1463268 h 1814054"/>
                  <a:gd name="connsiteX7" fmla="*/ 1084514 w 6993467"/>
                  <a:gd name="connsiteY7" fmla="*/ 1814054 h 1814054"/>
                  <a:gd name="connsiteX8" fmla="*/ 76785 w 6993467"/>
                  <a:gd name="connsiteY8" fmla="*/ 1807747 h 1814054"/>
                  <a:gd name="connsiteX9" fmla="*/ 0 w 6993467"/>
                  <a:gd name="connsiteY9" fmla="*/ 1066800 h 1814054"/>
                  <a:gd name="connsiteX10" fmla="*/ 114300 w 6993467"/>
                  <a:gd name="connsiteY10" fmla="*/ 1066800 h 1814054"/>
                  <a:gd name="connsiteX11" fmla="*/ 211667 w 6993467"/>
                  <a:gd name="connsiteY11" fmla="*/ 1659467 h 1814054"/>
                  <a:gd name="connsiteX0" fmla="*/ 211667 w 6993467"/>
                  <a:gd name="connsiteY0" fmla="*/ 1659467 h 1814054"/>
                  <a:gd name="connsiteX1" fmla="*/ 867833 w 6993467"/>
                  <a:gd name="connsiteY1" fmla="*/ 1663700 h 1814054"/>
                  <a:gd name="connsiteX2" fmla="*/ 1138767 w 6993467"/>
                  <a:gd name="connsiteY2" fmla="*/ 1062567 h 1814054"/>
                  <a:gd name="connsiteX3" fmla="*/ 2142067 w 6993467"/>
                  <a:gd name="connsiteY3" fmla="*/ 1066800 h 1814054"/>
                  <a:gd name="connsiteX4" fmla="*/ 6993467 w 6993467"/>
                  <a:gd name="connsiteY4" fmla="*/ 0 h 1814054"/>
                  <a:gd name="connsiteX5" fmla="*/ 6975950 w 6993467"/>
                  <a:gd name="connsiteY5" fmla="*/ 1420037 h 1814054"/>
                  <a:gd name="connsiteX6" fmla="*/ 1277204 w 6993467"/>
                  <a:gd name="connsiteY6" fmla="*/ 1444806 h 1814054"/>
                  <a:gd name="connsiteX7" fmla="*/ 1084514 w 6993467"/>
                  <a:gd name="connsiteY7" fmla="*/ 1814054 h 1814054"/>
                  <a:gd name="connsiteX8" fmla="*/ 76785 w 6993467"/>
                  <a:gd name="connsiteY8" fmla="*/ 1807747 h 1814054"/>
                  <a:gd name="connsiteX9" fmla="*/ 0 w 6993467"/>
                  <a:gd name="connsiteY9" fmla="*/ 1066800 h 1814054"/>
                  <a:gd name="connsiteX10" fmla="*/ 114300 w 6993467"/>
                  <a:gd name="connsiteY10" fmla="*/ 1066800 h 1814054"/>
                  <a:gd name="connsiteX11" fmla="*/ 211667 w 6993467"/>
                  <a:gd name="connsiteY11" fmla="*/ 1659467 h 1814054"/>
                  <a:gd name="connsiteX0" fmla="*/ 211667 w 6993467"/>
                  <a:gd name="connsiteY0" fmla="*/ 1659467 h 1814054"/>
                  <a:gd name="connsiteX1" fmla="*/ 867833 w 6993467"/>
                  <a:gd name="connsiteY1" fmla="*/ 1663700 h 1814054"/>
                  <a:gd name="connsiteX2" fmla="*/ 1138767 w 6993467"/>
                  <a:gd name="connsiteY2" fmla="*/ 1062567 h 1814054"/>
                  <a:gd name="connsiteX3" fmla="*/ 2142067 w 6993467"/>
                  <a:gd name="connsiteY3" fmla="*/ 1066800 h 1814054"/>
                  <a:gd name="connsiteX4" fmla="*/ 6993467 w 6993467"/>
                  <a:gd name="connsiteY4" fmla="*/ 0 h 1814054"/>
                  <a:gd name="connsiteX5" fmla="*/ 6958433 w 6993467"/>
                  <a:gd name="connsiteY5" fmla="*/ 1493887 h 1814054"/>
                  <a:gd name="connsiteX6" fmla="*/ 1277204 w 6993467"/>
                  <a:gd name="connsiteY6" fmla="*/ 1444806 h 1814054"/>
                  <a:gd name="connsiteX7" fmla="*/ 1084514 w 6993467"/>
                  <a:gd name="connsiteY7" fmla="*/ 1814054 h 1814054"/>
                  <a:gd name="connsiteX8" fmla="*/ 76785 w 6993467"/>
                  <a:gd name="connsiteY8" fmla="*/ 1807747 h 1814054"/>
                  <a:gd name="connsiteX9" fmla="*/ 0 w 6993467"/>
                  <a:gd name="connsiteY9" fmla="*/ 1066800 h 1814054"/>
                  <a:gd name="connsiteX10" fmla="*/ 114300 w 6993467"/>
                  <a:gd name="connsiteY10" fmla="*/ 1066800 h 1814054"/>
                  <a:gd name="connsiteX11" fmla="*/ 211667 w 6993467"/>
                  <a:gd name="connsiteY11" fmla="*/ 1659467 h 1814054"/>
                  <a:gd name="connsiteX0" fmla="*/ 211667 w 7002227"/>
                  <a:gd name="connsiteY0" fmla="*/ 1659467 h 1814054"/>
                  <a:gd name="connsiteX1" fmla="*/ 867833 w 7002227"/>
                  <a:gd name="connsiteY1" fmla="*/ 1663700 h 1814054"/>
                  <a:gd name="connsiteX2" fmla="*/ 1138767 w 7002227"/>
                  <a:gd name="connsiteY2" fmla="*/ 1062567 h 1814054"/>
                  <a:gd name="connsiteX3" fmla="*/ 2142067 w 7002227"/>
                  <a:gd name="connsiteY3" fmla="*/ 1066800 h 1814054"/>
                  <a:gd name="connsiteX4" fmla="*/ 6993467 w 7002227"/>
                  <a:gd name="connsiteY4" fmla="*/ 0 h 1814054"/>
                  <a:gd name="connsiteX5" fmla="*/ 7002227 w 7002227"/>
                  <a:gd name="connsiteY5" fmla="*/ 1493887 h 1814054"/>
                  <a:gd name="connsiteX6" fmla="*/ 1277204 w 7002227"/>
                  <a:gd name="connsiteY6" fmla="*/ 1444806 h 1814054"/>
                  <a:gd name="connsiteX7" fmla="*/ 1084514 w 7002227"/>
                  <a:gd name="connsiteY7" fmla="*/ 1814054 h 1814054"/>
                  <a:gd name="connsiteX8" fmla="*/ 76785 w 7002227"/>
                  <a:gd name="connsiteY8" fmla="*/ 1807747 h 1814054"/>
                  <a:gd name="connsiteX9" fmla="*/ 0 w 7002227"/>
                  <a:gd name="connsiteY9" fmla="*/ 1066800 h 1814054"/>
                  <a:gd name="connsiteX10" fmla="*/ 114300 w 7002227"/>
                  <a:gd name="connsiteY10" fmla="*/ 1066800 h 1814054"/>
                  <a:gd name="connsiteX11" fmla="*/ 211667 w 7002227"/>
                  <a:gd name="connsiteY11" fmla="*/ 1659467 h 1814054"/>
                  <a:gd name="connsiteX0" fmla="*/ 211667 w 6993467"/>
                  <a:gd name="connsiteY0" fmla="*/ 1659467 h 1814054"/>
                  <a:gd name="connsiteX1" fmla="*/ 867833 w 6993467"/>
                  <a:gd name="connsiteY1" fmla="*/ 1663700 h 1814054"/>
                  <a:gd name="connsiteX2" fmla="*/ 1138767 w 6993467"/>
                  <a:gd name="connsiteY2" fmla="*/ 1062567 h 1814054"/>
                  <a:gd name="connsiteX3" fmla="*/ 2142067 w 6993467"/>
                  <a:gd name="connsiteY3" fmla="*/ 1066800 h 1814054"/>
                  <a:gd name="connsiteX4" fmla="*/ 6993467 w 6993467"/>
                  <a:gd name="connsiteY4" fmla="*/ 0 h 1814054"/>
                  <a:gd name="connsiteX5" fmla="*/ 6975951 w 6993467"/>
                  <a:gd name="connsiteY5" fmla="*/ 1484655 h 1814054"/>
                  <a:gd name="connsiteX6" fmla="*/ 1277204 w 6993467"/>
                  <a:gd name="connsiteY6" fmla="*/ 1444806 h 1814054"/>
                  <a:gd name="connsiteX7" fmla="*/ 1084514 w 6993467"/>
                  <a:gd name="connsiteY7" fmla="*/ 1814054 h 1814054"/>
                  <a:gd name="connsiteX8" fmla="*/ 76785 w 6993467"/>
                  <a:gd name="connsiteY8" fmla="*/ 1807747 h 1814054"/>
                  <a:gd name="connsiteX9" fmla="*/ 0 w 6993467"/>
                  <a:gd name="connsiteY9" fmla="*/ 1066800 h 1814054"/>
                  <a:gd name="connsiteX10" fmla="*/ 114300 w 6993467"/>
                  <a:gd name="connsiteY10" fmla="*/ 1066800 h 1814054"/>
                  <a:gd name="connsiteX11" fmla="*/ 211667 w 6993467"/>
                  <a:gd name="connsiteY11" fmla="*/ 1659467 h 1814054"/>
                  <a:gd name="connsiteX0" fmla="*/ 211667 w 6993467"/>
                  <a:gd name="connsiteY0" fmla="*/ 1659467 h 1832295"/>
                  <a:gd name="connsiteX1" fmla="*/ 867833 w 6993467"/>
                  <a:gd name="connsiteY1" fmla="*/ 1663700 h 1832295"/>
                  <a:gd name="connsiteX2" fmla="*/ 1138767 w 6993467"/>
                  <a:gd name="connsiteY2" fmla="*/ 1062567 h 1832295"/>
                  <a:gd name="connsiteX3" fmla="*/ 2142067 w 6993467"/>
                  <a:gd name="connsiteY3" fmla="*/ 1066800 h 1832295"/>
                  <a:gd name="connsiteX4" fmla="*/ 6993467 w 6993467"/>
                  <a:gd name="connsiteY4" fmla="*/ 0 h 1832295"/>
                  <a:gd name="connsiteX5" fmla="*/ 6975951 w 6993467"/>
                  <a:gd name="connsiteY5" fmla="*/ 1484655 h 1832295"/>
                  <a:gd name="connsiteX6" fmla="*/ 1277204 w 6993467"/>
                  <a:gd name="connsiteY6" fmla="*/ 1444806 h 1832295"/>
                  <a:gd name="connsiteX7" fmla="*/ 1763674 w 6993467"/>
                  <a:gd name="connsiteY7" fmla="*/ 1832295 h 1832295"/>
                  <a:gd name="connsiteX8" fmla="*/ 76785 w 6993467"/>
                  <a:gd name="connsiteY8" fmla="*/ 1807747 h 1832295"/>
                  <a:gd name="connsiteX9" fmla="*/ 0 w 6993467"/>
                  <a:gd name="connsiteY9" fmla="*/ 1066800 h 1832295"/>
                  <a:gd name="connsiteX10" fmla="*/ 114300 w 6993467"/>
                  <a:gd name="connsiteY10" fmla="*/ 1066800 h 1832295"/>
                  <a:gd name="connsiteX11" fmla="*/ 211667 w 6993467"/>
                  <a:gd name="connsiteY11" fmla="*/ 1659467 h 1832295"/>
                  <a:gd name="connsiteX0" fmla="*/ 211667 w 6993467"/>
                  <a:gd name="connsiteY0" fmla="*/ 1659467 h 1832295"/>
                  <a:gd name="connsiteX1" fmla="*/ 867833 w 6993467"/>
                  <a:gd name="connsiteY1" fmla="*/ 1663700 h 1832295"/>
                  <a:gd name="connsiteX2" fmla="*/ 1138767 w 6993467"/>
                  <a:gd name="connsiteY2" fmla="*/ 1062567 h 1832295"/>
                  <a:gd name="connsiteX3" fmla="*/ 2142067 w 6993467"/>
                  <a:gd name="connsiteY3" fmla="*/ 1066800 h 1832295"/>
                  <a:gd name="connsiteX4" fmla="*/ 6993467 w 6993467"/>
                  <a:gd name="connsiteY4" fmla="*/ 0 h 1832295"/>
                  <a:gd name="connsiteX5" fmla="*/ 6975951 w 6993467"/>
                  <a:gd name="connsiteY5" fmla="*/ 1484655 h 1832295"/>
                  <a:gd name="connsiteX6" fmla="*/ 2024280 w 6993467"/>
                  <a:gd name="connsiteY6" fmla="*/ 1453926 h 1832295"/>
                  <a:gd name="connsiteX7" fmla="*/ 1763674 w 6993467"/>
                  <a:gd name="connsiteY7" fmla="*/ 1832295 h 1832295"/>
                  <a:gd name="connsiteX8" fmla="*/ 76785 w 6993467"/>
                  <a:gd name="connsiteY8" fmla="*/ 1807747 h 1832295"/>
                  <a:gd name="connsiteX9" fmla="*/ 0 w 6993467"/>
                  <a:gd name="connsiteY9" fmla="*/ 1066800 h 1832295"/>
                  <a:gd name="connsiteX10" fmla="*/ 114300 w 6993467"/>
                  <a:gd name="connsiteY10" fmla="*/ 1066800 h 1832295"/>
                  <a:gd name="connsiteX11" fmla="*/ 211667 w 6993467"/>
                  <a:gd name="connsiteY11" fmla="*/ 1659467 h 1832295"/>
                  <a:gd name="connsiteX0" fmla="*/ 211667 w 6993467"/>
                  <a:gd name="connsiteY0" fmla="*/ 1659467 h 1807747"/>
                  <a:gd name="connsiteX1" fmla="*/ 867833 w 6993467"/>
                  <a:gd name="connsiteY1" fmla="*/ 1663700 h 1807747"/>
                  <a:gd name="connsiteX2" fmla="*/ 1138767 w 6993467"/>
                  <a:gd name="connsiteY2" fmla="*/ 1062567 h 1807747"/>
                  <a:gd name="connsiteX3" fmla="*/ 2142067 w 6993467"/>
                  <a:gd name="connsiteY3" fmla="*/ 1066800 h 1807747"/>
                  <a:gd name="connsiteX4" fmla="*/ 6993467 w 6993467"/>
                  <a:gd name="connsiteY4" fmla="*/ 0 h 1807747"/>
                  <a:gd name="connsiteX5" fmla="*/ 6975951 w 6993467"/>
                  <a:gd name="connsiteY5" fmla="*/ 1484655 h 1807747"/>
                  <a:gd name="connsiteX6" fmla="*/ 2024280 w 6993467"/>
                  <a:gd name="connsiteY6" fmla="*/ 1453926 h 1807747"/>
                  <a:gd name="connsiteX7" fmla="*/ 1763674 w 6993467"/>
                  <a:gd name="connsiteY7" fmla="*/ 1804933 h 1807747"/>
                  <a:gd name="connsiteX8" fmla="*/ 76785 w 6993467"/>
                  <a:gd name="connsiteY8" fmla="*/ 1807747 h 1807747"/>
                  <a:gd name="connsiteX9" fmla="*/ 0 w 6993467"/>
                  <a:gd name="connsiteY9" fmla="*/ 1066800 h 1807747"/>
                  <a:gd name="connsiteX10" fmla="*/ 114300 w 6993467"/>
                  <a:gd name="connsiteY10" fmla="*/ 1066800 h 1807747"/>
                  <a:gd name="connsiteX11" fmla="*/ 211667 w 6993467"/>
                  <a:gd name="connsiteY11" fmla="*/ 1659467 h 180774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6993467" h="1807747">
                    <a:moveTo>
                      <a:pt x="211667" y="1659467"/>
                    </a:moveTo>
                    <a:lnTo>
                      <a:pt x="867833" y="1663700"/>
                    </a:lnTo>
                    <a:lnTo>
                      <a:pt x="1138767" y="1062567"/>
                    </a:lnTo>
                    <a:lnTo>
                      <a:pt x="2142067" y="1066800"/>
                    </a:lnTo>
                    <a:lnTo>
                      <a:pt x="6993467" y="0"/>
                    </a:lnTo>
                    <a:lnTo>
                      <a:pt x="6975951" y="1484655"/>
                    </a:lnTo>
                    <a:lnTo>
                      <a:pt x="2024280" y="1453926"/>
                    </a:lnTo>
                    <a:lnTo>
                      <a:pt x="1763674" y="1804933"/>
                    </a:lnTo>
                    <a:lnTo>
                      <a:pt x="76785" y="1807747"/>
                    </a:lnTo>
                    <a:lnTo>
                      <a:pt x="0" y="1066800"/>
                    </a:lnTo>
                    <a:lnTo>
                      <a:pt x="114300" y="1066800"/>
                    </a:lnTo>
                    <a:lnTo>
                      <a:pt x="211667" y="1659467"/>
                    </a:lnTo>
                    <a:close/>
                  </a:path>
                </a:pathLst>
              </a:custGeom>
              <a:solidFill>
                <a:schemeClr val="accent6">
                  <a:lumMod val="20000"/>
                  <a:lumOff val="80000"/>
                </a:schemeClr>
              </a:solidFill>
              <a:ln>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80" name="Freeform: Shape 79">
                <a:extLst>
                  <a:ext uri="{FF2B5EF4-FFF2-40B4-BE49-F238E27FC236}">
                    <a16:creationId xmlns:a16="http://schemas.microsoft.com/office/drawing/2014/main" id="{DF73FAF2-C998-42B6-ACC3-5E2F7C2DBDCD}"/>
                  </a:ext>
                </a:extLst>
              </xdr:cNvPr>
              <xdr:cNvSpPr/>
            </xdr:nvSpPr>
            <xdr:spPr>
              <a:xfrm>
                <a:off x="1238955" y="2157590"/>
                <a:ext cx="1137356" cy="530748"/>
              </a:xfrm>
              <a:custGeom>
                <a:avLst/>
                <a:gdLst>
                  <a:gd name="connsiteX0" fmla="*/ 749300 w 986367"/>
                  <a:gd name="connsiteY0" fmla="*/ 524934 h 524934"/>
                  <a:gd name="connsiteX1" fmla="*/ 84667 w 986367"/>
                  <a:gd name="connsiteY1" fmla="*/ 516467 h 524934"/>
                  <a:gd name="connsiteX2" fmla="*/ 0 w 986367"/>
                  <a:gd name="connsiteY2" fmla="*/ 16934 h 524934"/>
                  <a:gd name="connsiteX3" fmla="*/ 986367 w 986367"/>
                  <a:gd name="connsiteY3" fmla="*/ 0 h 524934"/>
                  <a:gd name="connsiteX4" fmla="*/ 749300 w 986367"/>
                  <a:gd name="connsiteY4" fmla="*/ 524934 h 524934"/>
                  <a:gd name="connsiteX0" fmla="*/ 749300 w 986367"/>
                  <a:gd name="connsiteY0" fmla="*/ 524934 h 526596"/>
                  <a:gd name="connsiteX1" fmla="*/ 30074 w 986367"/>
                  <a:gd name="connsiteY1" fmla="*/ 526596 h 526596"/>
                  <a:gd name="connsiteX2" fmla="*/ 0 w 986367"/>
                  <a:gd name="connsiteY2" fmla="*/ 16934 h 526596"/>
                  <a:gd name="connsiteX3" fmla="*/ 986367 w 986367"/>
                  <a:gd name="connsiteY3" fmla="*/ 0 h 526596"/>
                  <a:gd name="connsiteX4" fmla="*/ 749300 w 986367"/>
                  <a:gd name="connsiteY4" fmla="*/ 524934 h 526596"/>
                  <a:gd name="connsiteX0" fmla="*/ 812992 w 986367"/>
                  <a:gd name="connsiteY0" fmla="*/ 535063 h 535063"/>
                  <a:gd name="connsiteX1" fmla="*/ 30074 w 986367"/>
                  <a:gd name="connsiteY1" fmla="*/ 526596 h 535063"/>
                  <a:gd name="connsiteX2" fmla="*/ 0 w 986367"/>
                  <a:gd name="connsiteY2" fmla="*/ 16934 h 535063"/>
                  <a:gd name="connsiteX3" fmla="*/ 986367 w 986367"/>
                  <a:gd name="connsiteY3" fmla="*/ 0 h 535063"/>
                  <a:gd name="connsiteX4" fmla="*/ 812992 w 986367"/>
                  <a:gd name="connsiteY4" fmla="*/ 535063 h 535063"/>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986367" h="535063">
                    <a:moveTo>
                      <a:pt x="812992" y="535063"/>
                    </a:moveTo>
                    <a:lnTo>
                      <a:pt x="30074" y="526596"/>
                    </a:lnTo>
                    <a:lnTo>
                      <a:pt x="0" y="16934"/>
                    </a:lnTo>
                    <a:lnTo>
                      <a:pt x="986367" y="0"/>
                    </a:lnTo>
                    <a:lnTo>
                      <a:pt x="812992" y="535063"/>
                    </a:lnTo>
                    <a:close/>
                  </a:path>
                </a:pathLst>
              </a:custGeom>
              <a:gradFill flip="none" rotWithShape="1">
                <a:gsLst>
                  <a:gs pos="0">
                    <a:srgbClr val="20AAE8">
                      <a:shade val="30000"/>
                      <a:satMod val="115000"/>
                    </a:srgbClr>
                  </a:gs>
                  <a:gs pos="50000">
                    <a:srgbClr val="20AAE8">
                      <a:shade val="67500"/>
                      <a:satMod val="115000"/>
                    </a:srgbClr>
                  </a:gs>
                  <a:gs pos="100000">
                    <a:srgbClr val="20AAE8">
                      <a:shade val="100000"/>
                      <a:satMod val="115000"/>
                    </a:srgbClr>
                  </a:gs>
                </a:gsLst>
                <a:lin ang="18900000" scaled="1"/>
                <a:tileRect/>
              </a:gradFill>
              <a:ln>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cxnSp macro="">
          <xdr:nvCxnSpPr>
            <xdr:cNvPr id="81" name="Straight Connector 80">
              <a:extLst>
                <a:ext uri="{FF2B5EF4-FFF2-40B4-BE49-F238E27FC236}">
                  <a16:creationId xmlns:a16="http://schemas.microsoft.com/office/drawing/2014/main" id="{5CEC2243-718A-40F7-ACD8-F8319350102C}"/>
                </a:ext>
              </a:extLst>
            </xdr:cNvPr>
            <xdr:cNvCxnSpPr/>
          </xdr:nvCxnSpPr>
          <xdr:spPr>
            <a:xfrm flipV="1">
              <a:off x="8879915" y="1831718"/>
              <a:ext cx="2307727" cy="554030"/>
            </a:xfrm>
            <a:prstGeom prst="line">
              <a:avLst/>
            </a:prstGeom>
            <a:ln w="101600">
              <a:solidFill>
                <a:srgbClr val="FF8B8B"/>
              </a:solidFill>
            </a:ln>
          </xdr:spPr>
          <xdr:style>
            <a:lnRef idx="1">
              <a:schemeClr val="accent1"/>
            </a:lnRef>
            <a:fillRef idx="0">
              <a:schemeClr val="accent1"/>
            </a:fillRef>
            <a:effectRef idx="0">
              <a:schemeClr val="accent1"/>
            </a:effectRef>
            <a:fontRef idx="minor">
              <a:schemeClr val="tx1"/>
            </a:fontRef>
          </xdr:style>
        </xdr:cxnSp>
        <xdr:sp macro="" textlink="">
          <xdr:nvSpPr>
            <xdr:cNvPr id="82" name="Freeform: Shape 81">
              <a:extLst>
                <a:ext uri="{FF2B5EF4-FFF2-40B4-BE49-F238E27FC236}">
                  <a16:creationId xmlns:a16="http://schemas.microsoft.com/office/drawing/2014/main" id="{E9F13C27-62C7-421E-9AEE-472858475E00}"/>
                </a:ext>
              </a:extLst>
            </xdr:cNvPr>
            <xdr:cNvSpPr/>
          </xdr:nvSpPr>
          <xdr:spPr>
            <a:xfrm>
              <a:off x="6204947" y="2337480"/>
              <a:ext cx="2656478" cy="701066"/>
            </a:xfrm>
            <a:custGeom>
              <a:avLst/>
              <a:gdLst>
                <a:gd name="connsiteX0" fmla="*/ 0 w 4066859"/>
                <a:gd name="connsiteY0" fmla="*/ 369794 h 856510"/>
                <a:gd name="connsiteX1" fmla="*/ 414617 w 4066859"/>
                <a:gd name="connsiteY1" fmla="*/ 381000 h 856510"/>
                <a:gd name="connsiteX2" fmla="*/ 470647 w 4066859"/>
                <a:gd name="connsiteY2" fmla="*/ 784412 h 856510"/>
                <a:gd name="connsiteX3" fmla="*/ 1120588 w 4066859"/>
                <a:gd name="connsiteY3" fmla="*/ 806823 h 856510"/>
                <a:gd name="connsiteX4" fmla="*/ 3821206 w 4066859"/>
                <a:gd name="connsiteY4" fmla="*/ 268941 h 856510"/>
                <a:gd name="connsiteX5" fmla="*/ 3776382 w 4066859"/>
                <a:gd name="connsiteY5" fmla="*/ 0 h 856510"/>
                <a:gd name="connsiteX0" fmla="*/ 0 w 4066859"/>
                <a:gd name="connsiteY0" fmla="*/ 369794 h 867391"/>
                <a:gd name="connsiteX1" fmla="*/ 414617 w 4066859"/>
                <a:gd name="connsiteY1" fmla="*/ 381000 h 867391"/>
                <a:gd name="connsiteX2" fmla="*/ 470647 w 4066859"/>
                <a:gd name="connsiteY2" fmla="*/ 784412 h 867391"/>
                <a:gd name="connsiteX3" fmla="*/ 1120588 w 4066859"/>
                <a:gd name="connsiteY3" fmla="*/ 806823 h 867391"/>
                <a:gd name="connsiteX4" fmla="*/ 3821206 w 4066859"/>
                <a:gd name="connsiteY4" fmla="*/ 268941 h 867391"/>
                <a:gd name="connsiteX5" fmla="*/ 3776382 w 4066859"/>
                <a:gd name="connsiteY5" fmla="*/ 0 h 867391"/>
                <a:gd name="connsiteX0" fmla="*/ 0 w 4066859"/>
                <a:gd name="connsiteY0" fmla="*/ 369794 h 856510"/>
                <a:gd name="connsiteX1" fmla="*/ 414617 w 4066859"/>
                <a:gd name="connsiteY1" fmla="*/ 381000 h 856510"/>
                <a:gd name="connsiteX2" fmla="*/ 470647 w 4066859"/>
                <a:gd name="connsiteY2" fmla="*/ 784412 h 856510"/>
                <a:gd name="connsiteX3" fmla="*/ 1120588 w 4066859"/>
                <a:gd name="connsiteY3" fmla="*/ 806823 h 856510"/>
                <a:gd name="connsiteX4" fmla="*/ 3821206 w 4066859"/>
                <a:gd name="connsiteY4" fmla="*/ 268941 h 856510"/>
                <a:gd name="connsiteX5" fmla="*/ 3776382 w 4066859"/>
                <a:gd name="connsiteY5" fmla="*/ 0 h 856510"/>
                <a:gd name="connsiteX0" fmla="*/ 0 w 3899203"/>
                <a:gd name="connsiteY0" fmla="*/ 369794 h 856510"/>
                <a:gd name="connsiteX1" fmla="*/ 414617 w 3899203"/>
                <a:gd name="connsiteY1" fmla="*/ 381000 h 856510"/>
                <a:gd name="connsiteX2" fmla="*/ 470647 w 3899203"/>
                <a:gd name="connsiteY2" fmla="*/ 784412 h 856510"/>
                <a:gd name="connsiteX3" fmla="*/ 1120588 w 3899203"/>
                <a:gd name="connsiteY3" fmla="*/ 806823 h 856510"/>
                <a:gd name="connsiteX4" fmla="*/ 3821206 w 3899203"/>
                <a:gd name="connsiteY4" fmla="*/ 268941 h 856510"/>
                <a:gd name="connsiteX5" fmla="*/ 3776382 w 3899203"/>
                <a:gd name="connsiteY5" fmla="*/ 0 h 856510"/>
                <a:gd name="connsiteX0" fmla="*/ 0 w 3821619"/>
                <a:gd name="connsiteY0" fmla="*/ 369794 h 856510"/>
                <a:gd name="connsiteX1" fmla="*/ 414617 w 3821619"/>
                <a:gd name="connsiteY1" fmla="*/ 381000 h 856510"/>
                <a:gd name="connsiteX2" fmla="*/ 470647 w 3821619"/>
                <a:gd name="connsiteY2" fmla="*/ 784412 h 856510"/>
                <a:gd name="connsiteX3" fmla="*/ 1120588 w 3821619"/>
                <a:gd name="connsiteY3" fmla="*/ 806823 h 856510"/>
                <a:gd name="connsiteX4" fmla="*/ 3821206 w 3821619"/>
                <a:gd name="connsiteY4" fmla="*/ 268941 h 856510"/>
                <a:gd name="connsiteX5" fmla="*/ 3776382 w 3821619"/>
                <a:gd name="connsiteY5" fmla="*/ 0 h 856510"/>
                <a:gd name="connsiteX0" fmla="*/ 0 w 3778354"/>
                <a:gd name="connsiteY0" fmla="*/ 369794 h 856510"/>
                <a:gd name="connsiteX1" fmla="*/ 414617 w 3778354"/>
                <a:gd name="connsiteY1" fmla="*/ 381000 h 856510"/>
                <a:gd name="connsiteX2" fmla="*/ 470647 w 3778354"/>
                <a:gd name="connsiteY2" fmla="*/ 784412 h 856510"/>
                <a:gd name="connsiteX3" fmla="*/ 1120588 w 3778354"/>
                <a:gd name="connsiteY3" fmla="*/ 806823 h 856510"/>
                <a:gd name="connsiteX4" fmla="*/ 3776382 w 3778354"/>
                <a:gd name="connsiteY4" fmla="*/ 268941 h 856510"/>
                <a:gd name="connsiteX5" fmla="*/ 3776382 w 3778354"/>
                <a:gd name="connsiteY5" fmla="*/ 0 h 856510"/>
                <a:gd name="connsiteX0" fmla="*/ 0 w 3778354"/>
                <a:gd name="connsiteY0" fmla="*/ 369794 h 856510"/>
                <a:gd name="connsiteX1" fmla="*/ 414617 w 3778354"/>
                <a:gd name="connsiteY1" fmla="*/ 381000 h 856510"/>
                <a:gd name="connsiteX2" fmla="*/ 470647 w 3778354"/>
                <a:gd name="connsiteY2" fmla="*/ 784412 h 856510"/>
                <a:gd name="connsiteX3" fmla="*/ 1120588 w 3778354"/>
                <a:gd name="connsiteY3" fmla="*/ 806823 h 856510"/>
                <a:gd name="connsiteX4" fmla="*/ 3776382 w 3778354"/>
                <a:gd name="connsiteY4" fmla="*/ 268941 h 856510"/>
                <a:gd name="connsiteX5" fmla="*/ 3776382 w 3778354"/>
                <a:gd name="connsiteY5" fmla="*/ 0 h 856510"/>
                <a:gd name="connsiteX0" fmla="*/ 833 w 3779187"/>
                <a:gd name="connsiteY0" fmla="*/ 369794 h 856510"/>
                <a:gd name="connsiteX1" fmla="*/ 415450 w 3779187"/>
                <a:gd name="connsiteY1" fmla="*/ 381000 h 856510"/>
                <a:gd name="connsiteX2" fmla="*/ 471480 w 3779187"/>
                <a:gd name="connsiteY2" fmla="*/ 784412 h 856510"/>
                <a:gd name="connsiteX3" fmla="*/ 1121421 w 3779187"/>
                <a:gd name="connsiteY3" fmla="*/ 806823 h 856510"/>
                <a:gd name="connsiteX4" fmla="*/ 3777215 w 3779187"/>
                <a:gd name="connsiteY4" fmla="*/ 268941 h 856510"/>
                <a:gd name="connsiteX5" fmla="*/ 3777215 w 3779187"/>
                <a:gd name="connsiteY5" fmla="*/ 0 h 856510"/>
                <a:gd name="connsiteX0" fmla="*/ 1001 w 3779355"/>
                <a:gd name="connsiteY0" fmla="*/ 369794 h 867257"/>
                <a:gd name="connsiteX1" fmla="*/ 415618 w 3779355"/>
                <a:gd name="connsiteY1" fmla="*/ 381000 h 867257"/>
                <a:gd name="connsiteX2" fmla="*/ 460442 w 3779355"/>
                <a:gd name="connsiteY2" fmla="*/ 806824 h 867257"/>
                <a:gd name="connsiteX3" fmla="*/ 1121589 w 3779355"/>
                <a:gd name="connsiteY3" fmla="*/ 806823 h 867257"/>
                <a:gd name="connsiteX4" fmla="*/ 3777383 w 3779355"/>
                <a:gd name="connsiteY4" fmla="*/ 268941 h 867257"/>
                <a:gd name="connsiteX5" fmla="*/ 3777383 w 3779355"/>
                <a:gd name="connsiteY5" fmla="*/ 0 h 867257"/>
                <a:gd name="connsiteX0" fmla="*/ 1001 w 3779355"/>
                <a:gd name="connsiteY0" fmla="*/ 369794 h 873360"/>
                <a:gd name="connsiteX1" fmla="*/ 415618 w 3779355"/>
                <a:gd name="connsiteY1" fmla="*/ 381000 h 873360"/>
                <a:gd name="connsiteX2" fmla="*/ 460442 w 3779355"/>
                <a:gd name="connsiteY2" fmla="*/ 818030 h 873360"/>
                <a:gd name="connsiteX3" fmla="*/ 1121589 w 3779355"/>
                <a:gd name="connsiteY3" fmla="*/ 806823 h 873360"/>
                <a:gd name="connsiteX4" fmla="*/ 3777383 w 3779355"/>
                <a:gd name="connsiteY4" fmla="*/ 268941 h 873360"/>
                <a:gd name="connsiteX5" fmla="*/ 3777383 w 3779355"/>
                <a:gd name="connsiteY5" fmla="*/ 0 h 873360"/>
                <a:gd name="connsiteX0" fmla="*/ 1001 w 3779355"/>
                <a:gd name="connsiteY0" fmla="*/ 369794 h 851574"/>
                <a:gd name="connsiteX1" fmla="*/ 415618 w 3779355"/>
                <a:gd name="connsiteY1" fmla="*/ 381000 h 851574"/>
                <a:gd name="connsiteX2" fmla="*/ 460442 w 3779355"/>
                <a:gd name="connsiteY2" fmla="*/ 818030 h 851574"/>
                <a:gd name="connsiteX3" fmla="*/ 1121589 w 3779355"/>
                <a:gd name="connsiteY3" fmla="*/ 806823 h 851574"/>
                <a:gd name="connsiteX4" fmla="*/ 3777383 w 3779355"/>
                <a:gd name="connsiteY4" fmla="*/ 268941 h 851574"/>
                <a:gd name="connsiteX5" fmla="*/ 3777383 w 3779355"/>
                <a:gd name="connsiteY5" fmla="*/ 0 h 851574"/>
                <a:gd name="connsiteX0" fmla="*/ 873 w 3779227"/>
                <a:gd name="connsiteY0" fmla="*/ 369794 h 851574"/>
                <a:gd name="connsiteX1" fmla="*/ 415490 w 3779227"/>
                <a:gd name="connsiteY1" fmla="*/ 381000 h 851574"/>
                <a:gd name="connsiteX2" fmla="*/ 460314 w 3779227"/>
                <a:gd name="connsiteY2" fmla="*/ 818030 h 851574"/>
                <a:gd name="connsiteX3" fmla="*/ 1121461 w 3779227"/>
                <a:gd name="connsiteY3" fmla="*/ 806823 h 851574"/>
                <a:gd name="connsiteX4" fmla="*/ 3777255 w 3779227"/>
                <a:gd name="connsiteY4" fmla="*/ 268941 h 851574"/>
                <a:gd name="connsiteX5" fmla="*/ 3777255 w 3779227"/>
                <a:gd name="connsiteY5" fmla="*/ 0 h 851574"/>
                <a:gd name="connsiteX0" fmla="*/ 873 w 3779227"/>
                <a:gd name="connsiteY0" fmla="*/ 369794 h 822944"/>
                <a:gd name="connsiteX1" fmla="*/ 415490 w 3779227"/>
                <a:gd name="connsiteY1" fmla="*/ 381000 h 822944"/>
                <a:gd name="connsiteX2" fmla="*/ 460314 w 3779227"/>
                <a:gd name="connsiteY2" fmla="*/ 818030 h 822944"/>
                <a:gd name="connsiteX3" fmla="*/ 1121461 w 3779227"/>
                <a:gd name="connsiteY3" fmla="*/ 806823 h 822944"/>
                <a:gd name="connsiteX4" fmla="*/ 3777255 w 3779227"/>
                <a:gd name="connsiteY4" fmla="*/ 268941 h 822944"/>
                <a:gd name="connsiteX5" fmla="*/ 3777255 w 3779227"/>
                <a:gd name="connsiteY5" fmla="*/ 0 h 822944"/>
                <a:gd name="connsiteX0" fmla="*/ 873 w 3779227"/>
                <a:gd name="connsiteY0" fmla="*/ 369794 h 854644"/>
                <a:gd name="connsiteX1" fmla="*/ 415490 w 3779227"/>
                <a:gd name="connsiteY1" fmla="*/ 347382 h 854644"/>
                <a:gd name="connsiteX2" fmla="*/ 460314 w 3779227"/>
                <a:gd name="connsiteY2" fmla="*/ 818030 h 854644"/>
                <a:gd name="connsiteX3" fmla="*/ 1121461 w 3779227"/>
                <a:gd name="connsiteY3" fmla="*/ 806823 h 854644"/>
                <a:gd name="connsiteX4" fmla="*/ 3777255 w 3779227"/>
                <a:gd name="connsiteY4" fmla="*/ 268941 h 854644"/>
                <a:gd name="connsiteX5" fmla="*/ 3777255 w 3779227"/>
                <a:gd name="connsiteY5" fmla="*/ 0 h 854644"/>
                <a:gd name="connsiteX0" fmla="*/ 873 w 3779227"/>
                <a:gd name="connsiteY0" fmla="*/ 369794 h 818294"/>
                <a:gd name="connsiteX1" fmla="*/ 415490 w 3779227"/>
                <a:gd name="connsiteY1" fmla="*/ 347382 h 818294"/>
                <a:gd name="connsiteX2" fmla="*/ 460314 w 3779227"/>
                <a:gd name="connsiteY2" fmla="*/ 818030 h 818294"/>
                <a:gd name="connsiteX3" fmla="*/ 1121461 w 3779227"/>
                <a:gd name="connsiteY3" fmla="*/ 806823 h 818294"/>
                <a:gd name="connsiteX4" fmla="*/ 3777255 w 3779227"/>
                <a:gd name="connsiteY4" fmla="*/ 268941 h 818294"/>
                <a:gd name="connsiteX5" fmla="*/ 3777255 w 3779227"/>
                <a:gd name="connsiteY5" fmla="*/ 0 h 818294"/>
                <a:gd name="connsiteX0" fmla="*/ 873 w 3779227"/>
                <a:gd name="connsiteY0" fmla="*/ 369794 h 852988"/>
                <a:gd name="connsiteX1" fmla="*/ 415490 w 3779227"/>
                <a:gd name="connsiteY1" fmla="*/ 369794 h 852988"/>
                <a:gd name="connsiteX2" fmla="*/ 460314 w 3779227"/>
                <a:gd name="connsiteY2" fmla="*/ 818030 h 852988"/>
                <a:gd name="connsiteX3" fmla="*/ 1121461 w 3779227"/>
                <a:gd name="connsiteY3" fmla="*/ 806823 h 852988"/>
                <a:gd name="connsiteX4" fmla="*/ 3777255 w 3779227"/>
                <a:gd name="connsiteY4" fmla="*/ 268941 h 852988"/>
                <a:gd name="connsiteX5" fmla="*/ 3777255 w 3779227"/>
                <a:gd name="connsiteY5" fmla="*/ 0 h 852988"/>
                <a:gd name="connsiteX0" fmla="*/ 873 w 3779227"/>
                <a:gd name="connsiteY0" fmla="*/ 369794 h 819237"/>
                <a:gd name="connsiteX1" fmla="*/ 415490 w 3779227"/>
                <a:gd name="connsiteY1" fmla="*/ 369794 h 819237"/>
                <a:gd name="connsiteX2" fmla="*/ 460314 w 3779227"/>
                <a:gd name="connsiteY2" fmla="*/ 818030 h 819237"/>
                <a:gd name="connsiteX3" fmla="*/ 1121461 w 3779227"/>
                <a:gd name="connsiteY3" fmla="*/ 806823 h 819237"/>
                <a:gd name="connsiteX4" fmla="*/ 3777255 w 3779227"/>
                <a:gd name="connsiteY4" fmla="*/ 268941 h 819237"/>
                <a:gd name="connsiteX5" fmla="*/ 3777255 w 3779227"/>
                <a:gd name="connsiteY5" fmla="*/ 0 h 819237"/>
                <a:gd name="connsiteX0" fmla="*/ 873 w 3779227"/>
                <a:gd name="connsiteY0" fmla="*/ 369794 h 818481"/>
                <a:gd name="connsiteX1" fmla="*/ 415490 w 3779227"/>
                <a:gd name="connsiteY1" fmla="*/ 369794 h 818481"/>
                <a:gd name="connsiteX2" fmla="*/ 460314 w 3779227"/>
                <a:gd name="connsiteY2" fmla="*/ 818030 h 818481"/>
                <a:gd name="connsiteX3" fmla="*/ 1121461 w 3779227"/>
                <a:gd name="connsiteY3" fmla="*/ 806823 h 818481"/>
                <a:gd name="connsiteX4" fmla="*/ 3777255 w 3779227"/>
                <a:gd name="connsiteY4" fmla="*/ 268941 h 818481"/>
                <a:gd name="connsiteX5" fmla="*/ 3777255 w 3779227"/>
                <a:gd name="connsiteY5" fmla="*/ 0 h 818481"/>
                <a:gd name="connsiteX0" fmla="*/ 873 w 3971566"/>
                <a:gd name="connsiteY0" fmla="*/ 460933 h 909620"/>
                <a:gd name="connsiteX1" fmla="*/ 415490 w 3971566"/>
                <a:gd name="connsiteY1" fmla="*/ 460933 h 909620"/>
                <a:gd name="connsiteX2" fmla="*/ 460314 w 3971566"/>
                <a:gd name="connsiteY2" fmla="*/ 909169 h 909620"/>
                <a:gd name="connsiteX3" fmla="*/ 1121461 w 3971566"/>
                <a:gd name="connsiteY3" fmla="*/ 897962 h 909620"/>
                <a:gd name="connsiteX4" fmla="*/ 3777255 w 3971566"/>
                <a:gd name="connsiteY4" fmla="*/ 360080 h 909620"/>
                <a:gd name="connsiteX5" fmla="*/ 3771823 w 3971566"/>
                <a:gd name="connsiteY5" fmla="*/ 0 h 909620"/>
                <a:gd name="connsiteX0" fmla="*/ 873 w 3971566"/>
                <a:gd name="connsiteY0" fmla="*/ 460933 h 909620"/>
                <a:gd name="connsiteX1" fmla="*/ 415490 w 3971566"/>
                <a:gd name="connsiteY1" fmla="*/ 460933 h 909620"/>
                <a:gd name="connsiteX2" fmla="*/ 460314 w 3971566"/>
                <a:gd name="connsiteY2" fmla="*/ 909169 h 909620"/>
                <a:gd name="connsiteX3" fmla="*/ 1121461 w 3971566"/>
                <a:gd name="connsiteY3" fmla="*/ 897962 h 909620"/>
                <a:gd name="connsiteX4" fmla="*/ 3777255 w 3971566"/>
                <a:gd name="connsiteY4" fmla="*/ 360080 h 909620"/>
                <a:gd name="connsiteX5" fmla="*/ 3771823 w 3971566"/>
                <a:gd name="connsiteY5" fmla="*/ 0 h 909620"/>
                <a:gd name="connsiteX0" fmla="*/ 873 w 3777258"/>
                <a:gd name="connsiteY0" fmla="*/ 460933 h 909620"/>
                <a:gd name="connsiteX1" fmla="*/ 415490 w 3777258"/>
                <a:gd name="connsiteY1" fmla="*/ 460933 h 909620"/>
                <a:gd name="connsiteX2" fmla="*/ 460314 w 3777258"/>
                <a:gd name="connsiteY2" fmla="*/ 909169 h 909620"/>
                <a:gd name="connsiteX3" fmla="*/ 1121461 w 3777258"/>
                <a:gd name="connsiteY3" fmla="*/ 897962 h 909620"/>
                <a:gd name="connsiteX4" fmla="*/ 3777255 w 3777258"/>
                <a:gd name="connsiteY4" fmla="*/ 360080 h 909620"/>
                <a:gd name="connsiteX5" fmla="*/ 3771823 w 3777258"/>
                <a:gd name="connsiteY5" fmla="*/ 0 h 909620"/>
                <a:gd name="connsiteX0" fmla="*/ 873 w 3777258"/>
                <a:gd name="connsiteY0" fmla="*/ 460933 h 909620"/>
                <a:gd name="connsiteX1" fmla="*/ 415490 w 3777258"/>
                <a:gd name="connsiteY1" fmla="*/ 460933 h 909620"/>
                <a:gd name="connsiteX2" fmla="*/ 460314 w 3777258"/>
                <a:gd name="connsiteY2" fmla="*/ 909169 h 909620"/>
                <a:gd name="connsiteX3" fmla="*/ 1121461 w 3777258"/>
                <a:gd name="connsiteY3" fmla="*/ 897962 h 909620"/>
                <a:gd name="connsiteX4" fmla="*/ 3777255 w 3777258"/>
                <a:gd name="connsiteY4" fmla="*/ 360080 h 909620"/>
                <a:gd name="connsiteX5" fmla="*/ 3771823 w 3777258"/>
                <a:gd name="connsiteY5" fmla="*/ 0 h 909620"/>
                <a:gd name="connsiteX0" fmla="*/ 873 w 3777258"/>
                <a:gd name="connsiteY0" fmla="*/ 460933 h 910336"/>
                <a:gd name="connsiteX1" fmla="*/ 415490 w 3777258"/>
                <a:gd name="connsiteY1" fmla="*/ 460933 h 910336"/>
                <a:gd name="connsiteX2" fmla="*/ 460314 w 3777258"/>
                <a:gd name="connsiteY2" fmla="*/ 909169 h 910336"/>
                <a:gd name="connsiteX3" fmla="*/ 1121461 w 3777258"/>
                <a:gd name="connsiteY3" fmla="*/ 897962 h 910336"/>
                <a:gd name="connsiteX4" fmla="*/ 3777255 w 3777258"/>
                <a:gd name="connsiteY4" fmla="*/ 360080 h 910336"/>
                <a:gd name="connsiteX5" fmla="*/ 3771823 w 3777258"/>
                <a:gd name="connsiteY5" fmla="*/ 0 h 910336"/>
                <a:gd name="connsiteX0" fmla="*/ 873 w 3777258"/>
                <a:gd name="connsiteY0" fmla="*/ 460933 h 910336"/>
                <a:gd name="connsiteX1" fmla="*/ 415490 w 3777258"/>
                <a:gd name="connsiteY1" fmla="*/ 460933 h 910336"/>
                <a:gd name="connsiteX2" fmla="*/ 460314 w 3777258"/>
                <a:gd name="connsiteY2" fmla="*/ 909169 h 910336"/>
                <a:gd name="connsiteX3" fmla="*/ 1121461 w 3777258"/>
                <a:gd name="connsiteY3" fmla="*/ 897962 h 910336"/>
                <a:gd name="connsiteX4" fmla="*/ 3777255 w 3777258"/>
                <a:gd name="connsiteY4" fmla="*/ 360080 h 910336"/>
                <a:gd name="connsiteX5" fmla="*/ 3771823 w 3777258"/>
                <a:gd name="connsiteY5" fmla="*/ 0 h 910336"/>
                <a:gd name="connsiteX0" fmla="*/ 873 w 3777258"/>
                <a:gd name="connsiteY0" fmla="*/ 382289 h 831692"/>
                <a:gd name="connsiteX1" fmla="*/ 415490 w 3777258"/>
                <a:gd name="connsiteY1" fmla="*/ 382289 h 831692"/>
                <a:gd name="connsiteX2" fmla="*/ 460314 w 3777258"/>
                <a:gd name="connsiteY2" fmla="*/ 830525 h 831692"/>
                <a:gd name="connsiteX3" fmla="*/ 1121461 w 3777258"/>
                <a:gd name="connsiteY3" fmla="*/ 819318 h 831692"/>
                <a:gd name="connsiteX4" fmla="*/ 3777255 w 3777258"/>
                <a:gd name="connsiteY4" fmla="*/ 281436 h 831692"/>
                <a:gd name="connsiteX5" fmla="*/ 3771823 w 3777258"/>
                <a:gd name="connsiteY5" fmla="*/ 0 h 83169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3777258" h="831692">
                  <a:moveTo>
                    <a:pt x="873" y="382289"/>
                  </a:moveTo>
                  <a:cubicBezTo>
                    <a:pt x="-21539" y="364546"/>
                    <a:pt x="394946" y="374818"/>
                    <a:pt x="415490" y="382289"/>
                  </a:cubicBezTo>
                  <a:cubicBezTo>
                    <a:pt x="436034" y="389760"/>
                    <a:pt x="455737" y="858057"/>
                    <a:pt x="460314" y="830525"/>
                  </a:cubicBezTo>
                  <a:lnTo>
                    <a:pt x="1121461" y="819318"/>
                  </a:lnTo>
                  <a:cubicBezTo>
                    <a:pt x="1192431" y="795038"/>
                    <a:pt x="3780937" y="318513"/>
                    <a:pt x="3777255" y="281436"/>
                  </a:cubicBezTo>
                  <a:cubicBezTo>
                    <a:pt x="3773573" y="244359"/>
                    <a:pt x="3769021" y="30191"/>
                    <a:pt x="3771823" y="0"/>
                  </a:cubicBezTo>
                </a:path>
              </a:pathLst>
            </a:custGeom>
            <a:noFill/>
            <a:ln w="101600">
              <a:solidFill>
                <a:schemeClr val="accent5">
                  <a:lumMod val="75000"/>
                </a:schemeClr>
              </a:solidFill>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83" name="Freeform: Shape 82">
              <a:extLst>
                <a:ext uri="{FF2B5EF4-FFF2-40B4-BE49-F238E27FC236}">
                  <a16:creationId xmlns:a16="http://schemas.microsoft.com/office/drawing/2014/main" id="{CAFDABB6-4013-407F-845F-3C241524CE0D}"/>
                </a:ext>
              </a:extLst>
            </xdr:cNvPr>
            <xdr:cNvSpPr/>
          </xdr:nvSpPr>
          <xdr:spPr>
            <a:xfrm>
              <a:off x="11151467" y="981829"/>
              <a:ext cx="615083" cy="934489"/>
            </a:xfrm>
            <a:custGeom>
              <a:avLst/>
              <a:gdLst>
                <a:gd name="connsiteX0" fmla="*/ 4233 w 664633"/>
                <a:gd name="connsiteY0" fmla="*/ 698500 h 698500"/>
                <a:gd name="connsiteX1" fmla="*/ 0 w 664633"/>
                <a:gd name="connsiteY1" fmla="*/ 160867 h 698500"/>
                <a:gd name="connsiteX2" fmla="*/ 321733 w 664633"/>
                <a:gd name="connsiteY2" fmla="*/ 16934 h 698500"/>
                <a:gd name="connsiteX3" fmla="*/ 647700 w 664633"/>
                <a:gd name="connsiteY3" fmla="*/ 0 h 698500"/>
                <a:gd name="connsiteX4" fmla="*/ 664633 w 664633"/>
                <a:gd name="connsiteY4" fmla="*/ 42334 h 698500"/>
                <a:gd name="connsiteX5" fmla="*/ 457200 w 664633"/>
                <a:gd name="connsiteY5" fmla="*/ 177800 h 698500"/>
                <a:gd name="connsiteX6" fmla="*/ 215900 w 664633"/>
                <a:gd name="connsiteY6" fmla="*/ 270934 h 698500"/>
                <a:gd name="connsiteX7" fmla="*/ 232833 w 664633"/>
                <a:gd name="connsiteY7" fmla="*/ 664634 h 698500"/>
                <a:gd name="connsiteX8" fmla="*/ 4233 w 664633"/>
                <a:gd name="connsiteY8" fmla="*/ 698500 h 6985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664633" h="698500">
                  <a:moveTo>
                    <a:pt x="4233" y="698500"/>
                  </a:moveTo>
                  <a:lnTo>
                    <a:pt x="0" y="160867"/>
                  </a:lnTo>
                  <a:lnTo>
                    <a:pt x="321733" y="16934"/>
                  </a:lnTo>
                  <a:lnTo>
                    <a:pt x="647700" y="0"/>
                  </a:lnTo>
                  <a:lnTo>
                    <a:pt x="664633" y="42334"/>
                  </a:lnTo>
                  <a:lnTo>
                    <a:pt x="457200" y="177800"/>
                  </a:lnTo>
                  <a:lnTo>
                    <a:pt x="215900" y="270934"/>
                  </a:lnTo>
                  <a:lnTo>
                    <a:pt x="232833" y="664634"/>
                  </a:lnTo>
                  <a:lnTo>
                    <a:pt x="4233" y="698500"/>
                  </a:lnTo>
                  <a:close/>
                </a:path>
              </a:pathLst>
            </a:cu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84" name="Oval 83">
              <a:extLst>
                <a:ext uri="{FF2B5EF4-FFF2-40B4-BE49-F238E27FC236}">
                  <a16:creationId xmlns:a16="http://schemas.microsoft.com/office/drawing/2014/main" id="{CE47ED99-C070-43A1-9A20-A1060D4C759E}"/>
                </a:ext>
              </a:extLst>
            </xdr:cNvPr>
            <xdr:cNvSpPr/>
          </xdr:nvSpPr>
          <xdr:spPr>
            <a:xfrm>
              <a:off x="5911296" y="2558246"/>
              <a:ext cx="370116" cy="319509"/>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xnSp macro="">
          <xdr:nvCxnSpPr>
            <xdr:cNvPr id="85" name="Straight Connector 84">
              <a:extLst>
                <a:ext uri="{FF2B5EF4-FFF2-40B4-BE49-F238E27FC236}">
                  <a16:creationId xmlns:a16="http://schemas.microsoft.com/office/drawing/2014/main" id="{26206053-5D4A-468F-B550-8860E06637C4}"/>
                </a:ext>
              </a:extLst>
            </xdr:cNvPr>
            <xdr:cNvCxnSpPr/>
          </xdr:nvCxnSpPr>
          <xdr:spPr>
            <a:xfrm flipV="1">
              <a:off x="4618324" y="2698327"/>
              <a:ext cx="6750293" cy="28575"/>
            </a:xfrm>
            <a:prstGeom prst="line">
              <a:avLst/>
            </a:prstGeom>
            <a:ln w="19050" cap="flat" cmpd="sng" algn="ctr">
              <a:solidFill>
                <a:schemeClr val="bg2">
                  <a:lumMod val="50000"/>
                </a:schemeClr>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xnSp macro="">
          <xdr:nvCxnSpPr>
            <xdr:cNvPr id="86" name="Straight Connector 85">
              <a:extLst>
                <a:ext uri="{FF2B5EF4-FFF2-40B4-BE49-F238E27FC236}">
                  <a16:creationId xmlns:a16="http://schemas.microsoft.com/office/drawing/2014/main" id="{4DB5505B-DF0C-457C-970B-BE1B0C34EA7A}"/>
                </a:ext>
              </a:extLst>
            </xdr:cNvPr>
            <xdr:cNvCxnSpPr>
              <a:cxnSpLocks/>
            </xdr:cNvCxnSpPr>
          </xdr:nvCxnSpPr>
          <xdr:spPr>
            <a:xfrm>
              <a:off x="6585162" y="2354369"/>
              <a:ext cx="2419138" cy="19050"/>
            </a:xfrm>
            <a:prstGeom prst="line">
              <a:avLst/>
            </a:prstGeom>
            <a:ln w="19050" cap="flat" cmpd="sng" algn="ctr">
              <a:solidFill>
                <a:schemeClr val="bg2">
                  <a:lumMod val="50000"/>
                </a:schemeClr>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xnSp macro="">
          <xdr:nvCxnSpPr>
            <xdr:cNvPr id="87" name="Straight Connector 86">
              <a:extLst>
                <a:ext uri="{FF2B5EF4-FFF2-40B4-BE49-F238E27FC236}">
                  <a16:creationId xmlns:a16="http://schemas.microsoft.com/office/drawing/2014/main" id="{3FFFADD6-E268-46D4-9DC9-997140FDE68D}"/>
                </a:ext>
              </a:extLst>
            </xdr:cNvPr>
            <xdr:cNvCxnSpPr/>
          </xdr:nvCxnSpPr>
          <xdr:spPr>
            <a:xfrm flipV="1">
              <a:off x="11035242" y="1007944"/>
              <a:ext cx="695449" cy="10808"/>
            </a:xfrm>
            <a:prstGeom prst="line">
              <a:avLst/>
            </a:prstGeom>
            <a:ln w="19050" cap="flat" cmpd="sng" algn="ctr">
              <a:solidFill>
                <a:schemeClr val="bg2">
                  <a:lumMod val="50000"/>
                </a:schemeClr>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xnSp macro="">
          <xdr:nvCxnSpPr>
            <xdr:cNvPr id="88" name="Straight Arrow Connector 87">
              <a:extLst>
                <a:ext uri="{FF2B5EF4-FFF2-40B4-BE49-F238E27FC236}">
                  <a16:creationId xmlns:a16="http://schemas.microsoft.com/office/drawing/2014/main" id="{E49FCB5F-86E5-4E22-ADD8-1CE6FE45A1EC}"/>
                </a:ext>
              </a:extLst>
            </xdr:cNvPr>
            <xdr:cNvCxnSpPr/>
          </xdr:nvCxnSpPr>
          <xdr:spPr>
            <a:xfrm flipV="1">
              <a:off x="4922308" y="2725946"/>
              <a:ext cx="0" cy="398254"/>
            </a:xfrm>
            <a:prstGeom prst="straightConnector1">
              <a:avLst/>
            </a:prstGeom>
            <a:ln w="28575">
              <a:solidFill>
                <a:schemeClr val="bg1">
                  <a:lumMod val="50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9" name="Straight Arrow Connector 88">
              <a:extLst>
                <a:ext uri="{FF2B5EF4-FFF2-40B4-BE49-F238E27FC236}">
                  <a16:creationId xmlns:a16="http://schemas.microsoft.com/office/drawing/2014/main" id="{A2038BA6-9151-40C1-87CE-3B2E9AC62C5E}"/>
                </a:ext>
              </a:extLst>
            </xdr:cNvPr>
            <xdr:cNvCxnSpPr/>
          </xdr:nvCxnSpPr>
          <xdr:spPr>
            <a:xfrm flipH="1" flipV="1">
              <a:off x="6748446" y="2331012"/>
              <a:ext cx="3851" cy="404774"/>
            </a:xfrm>
            <a:prstGeom prst="straightConnector1">
              <a:avLst/>
            </a:prstGeom>
            <a:ln w="28575">
              <a:solidFill>
                <a:schemeClr val="bg1">
                  <a:lumMod val="50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90" name="Straight Arrow Connector 14">
              <a:extLst>
                <a:ext uri="{FF2B5EF4-FFF2-40B4-BE49-F238E27FC236}">
                  <a16:creationId xmlns:a16="http://schemas.microsoft.com/office/drawing/2014/main" id="{777FDBAD-2E26-49EF-925F-BF6585096339}"/>
                </a:ext>
              </a:extLst>
            </xdr:cNvPr>
            <xdr:cNvCxnSpPr/>
          </xdr:nvCxnSpPr>
          <xdr:spPr>
            <a:xfrm flipV="1">
              <a:off x="11044767" y="1018752"/>
              <a:ext cx="0" cy="1693968"/>
            </a:xfrm>
            <a:prstGeom prst="straightConnector1">
              <a:avLst/>
            </a:prstGeom>
            <a:ln w="28575">
              <a:solidFill>
                <a:schemeClr val="accent3">
                  <a:lumMod val="7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grpSp>
          <xdr:nvGrpSpPr>
            <xdr:cNvPr id="93" name="Group 92">
              <a:extLst>
                <a:ext uri="{FF2B5EF4-FFF2-40B4-BE49-F238E27FC236}">
                  <a16:creationId xmlns:a16="http://schemas.microsoft.com/office/drawing/2014/main" id="{943167D3-3897-466F-978C-F857A9B77241}"/>
                </a:ext>
              </a:extLst>
            </xdr:cNvPr>
            <xdr:cNvGrpSpPr/>
          </xdr:nvGrpSpPr>
          <xdr:grpSpPr>
            <a:xfrm>
              <a:off x="6191100" y="2230544"/>
              <a:ext cx="264858" cy="368427"/>
              <a:chOff x="1326896" y="2231505"/>
              <a:chExt cx="634169" cy="794606"/>
            </a:xfrm>
          </xdr:grpSpPr>
          <xdr:sp macro="" textlink="">
            <xdr:nvSpPr>
              <xdr:cNvPr id="94" name="Oval 93">
                <a:extLst>
                  <a:ext uri="{FF2B5EF4-FFF2-40B4-BE49-F238E27FC236}">
                    <a16:creationId xmlns:a16="http://schemas.microsoft.com/office/drawing/2014/main" id="{96BFFEAF-743F-4E8C-A0D6-08488312DA99}"/>
                  </a:ext>
                </a:extLst>
              </xdr:cNvPr>
              <xdr:cNvSpPr/>
            </xdr:nvSpPr>
            <xdr:spPr>
              <a:xfrm>
                <a:off x="1326896" y="2231505"/>
                <a:ext cx="634169" cy="609993"/>
              </a:xfrm>
              <a:prstGeom prst="ellipse">
                <a:avLst/>
              </a:prstGeom>
              <a:solidFill>
                <a:schemeClr val="accent4">
                  <a:lumMod val="40000"/>
                  <a:lumOff val="60000"/>
                </a:schemeClr>
              </a:solidFill>
              <a:ln w="9525">
                <a:solidFill>
                  <a:schemeClr val="bg1">
                    <a:lumMod val="50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cxnSp macro="">
            <xdr:nvCxnSpPr>
              <xdr:cNvPr id="95" name="Straight Arrow Connector 94">
                <a:extLst>
                  <a:ext uri="{FF2B5EF4-FFF2-40B4-BE49-F238E27FC236}">
                    <a16:creationId xmlns:a16="http://schemas.microsoft.com/office/drawing/2014/main" id="{0F17D47A-B15F-44E5-9525-508A64CD8FB5}"/>
                  </a:ext>
                </a:extLst>
              </xdr:cNvPr>
              <xdr:cNvCxnSpPr>
                <a:cxnSpLocks/>
                <a:endCxn id="94" idx="5"/>
              </xdr:cNvCxnSpPr>
            </xdr:nvCxnSpPr>
            <xdr:spPr>
              <a:xfrm>
                <a:off x="1642013" y="2550063"/>
                <a:ext cx="226180" cy="202104"/>
              </a:xfrm>
              <a:prstGeom prst="straightConnector1">
                <a:avLst/>
              </a:prstGeom>
              <a:ln w="12700">
                <a:solidFill>
                  <a:schemeClr val="tx1">
                    <a:lumMod val="95000"/>
                    <a:lumOff val="5000"/>
                  </a:schemeClr>
                </a:solidFill>
                <a:bevel/>
                <a:headEnd type="none" w="sm" len="lg"/>
                <a:tailEnd type="triangle" w="sm" len="sm"/>
              </a:ln>
            </xdr:spPr>
            <xdr:style>
              <a:lnRef idx="1">
                <a:schemeClr val="accent1"/>
              </a:lnRef>
              <a:fillRef idx="0">
                <a:schemeClr val="accent1"/>
              </a:fillRef>
              <a:effectRef idx="0">
                <a:schemeClr val="accent1"/>
              </a:effectRef>
              <a:fontRef idx="minor">
                <a:schemeClr val="tx1"/>
              </a:fontRef>
            </xdr:style>
          </xdr:cxnSp>
          <xdr:cxnSp macro="">
            <xdr:nvCxnSpPr>
              <xdr:cNvPr id="96" name="Straight Connector 95">
                <a:extLst>
                  <a:ext uri="{FF2B5EF4-FFF2-40B4-BE49-F238E27FC236}">
                    <a16:creationId xmlns:a16="http://schemas.microsoft.com/office/drawing/2014/main" id="{7ED3FF24-5569-40AC-B201-F4863CC28015}"/>
                  </a:ext>
                </a:extLst>
              </xdr:cNvPr>
              <xdr:cNvCxnSpPr/>
            </xdr:nvCxnSpPr>
            <xdr:spPr>
              <a:xfrm>
                <a:off x="1665521" y="2858254"/>
                <a:ext cx="0" cy="167857"/>
              </a:xfrm>
              <a:prstGeom prst="line">
                <a:avLst/>
              </a:prstGeom>
              <a:ln w="3810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grpSp>
        <xdr:grpSp>
          <xdr:nvGrpSpPr>
            <xdr:cNvPr id="97" name="Group 96">
              <a:extLst>
                <a:ext uri="{FF2B5EF4-FFF2-40B4-BE49-F238E27FC236}">
                  <a16:creationId xmlns:a16="http://schemas.microsoft.com/office/drawing/2014/main" id="{2244428C-4B90-46EC-8DC9-3A39C9A3468B}"/>
                </a:ext>
              </a:extLst>
            </xdr:cNvPr>
            <xdr:cNvGrpSpPr/>
          </xdr:nvGrpSpPr>
          <xdr:grpSpPr>
            <a:xfrm>
              <a:off x="8718550" y="1955378"/>
              <a:ext cx="269210" cy="378673"/>
              <a:chOff x="1326896" y="2231505"/>
              <a:chExt cx="634169" cy="794606"/>
            </a:xfrm>
          </xdr:grpSpPr>
          <xdr:sp macro="" textlink="">
            <xdr:nvSpPr>
              <xdr:cNvPr id="98" name="Oval 97">
                <a:extLst>
                  <a:ext uri="{FF2B5EF4-FFF2-40B4-BE49-F238E27FC236}">
                    <a16:creationId xmlns:a16="http://schemas.microsoft.com/office/drawing/2014/main" id="{5C608C03-591D-4CE6-B0A1-C9946DA6F602}"/>
                  </a:ext>
                </a:extLst>
              </xdr:cNvPr>
              <xdr:cNvSpPr/>
            </xdr:nvSpPr>
            <xdr:spPr>
              <a:xfrm>
                <a:off x="1326896" y="2231505"/>
                <a:ext cx="634169" cy="609993"/>
              </a:xfrm>
              <a:prstGeom prst="ellipse">
                <a:avLst/>
              </a:prstGeom>
              <a:solidFill>
                <a:schemeClr val="accent4">
                  <a:lumMod val="40000"/>
                  <a:lumOff val="60000"/>
                </a:schemeClr>
              </a:solidFill>
              <a:ln w="9525">
                <a:solidFill>
                  <a:schemeClr val="bg1">
                    <a:lumMod val="50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cxnSp macro="">
            <xdr:nvCxnSpPr>
              <xdr:cNvPr id="99" name="Straight Arrow Connector 98">
                <a:extLst>
                  <a:ext uri="{FF2B5EF4-FFF2-40B4-BE49-F238E27FC236}">
                    <a16:creationId xmlns:a16="http://schemas.microsoft.com/office/drawing/2014/main" id="{7BF78148-CDE2-4E72-BB2C-0235F30AF41D}"/>
                  </a:ext>
                </a:extLst>
              </xdr:cNvPr>
              <xdr:cNvCxnSpPr>
                <a:cxnSpLocks/>
                <a:endCxn id="98" idx="5"/>
              </xdr:cNvCxnSpPr>
            </xdr:nvCxnSpPr>
            <xdr:spPr>
              <a:xfrm>
                <a:off x="1642013" y="2550063"/>
                <a:ext cx="226180" cy="202104"/>
              </a:xfrm>
              <a:prstGeom prst="straightConnector1">
                <a:avLst/>
              </a:prstGeom>
              <a:ln w="12700">
                <a:solidFill>
                  <a:schemeClr val="tx1">
                    <a:lumMod val="95000"/>
                    <a:lumOff val="5000"/>
                  </a:schemeClr>
                </a:solidFill>
                <a:bevel/>
                <a:headEnd type="none" w="sm" len="lg"/>
                <a:tailEnd type="triangle" w="sm" len="sm"/>
              </a:ln>
            </xdr:spPr>
            <xdr:style>
              <a:lnRef idx="1">
                <a:schemeClr val="accent1"/>
              </a:lnRef>
              <a:fillRef idx="0">
                <a:schemeClr val="accent1"/>
              </a:fillRef>
              <a:effectRef idx="0">
                <a:schemeClr val="accent1"/>
              </a:effectRef>
              <a:fontRef idx="minor">
                <a:schemeClr val="tx1"/>
              </a:fontRef>
            </xdr:style>
          </xdr:cxnSp>
          <xdr:cxnSp macro="">
            <xdr:nvCxnSpPr>
              <xdr:cNvPr id="100" name="Straight Connector 99">
                <a:extLst>
                  <a:ext uri="{FF2B5EF4-FFF2-40B4-BE49-F238E27FC236}">
                    <a16:creationId xmlns:a16="http://schemas.microsoft.com/office/drawing/2014/main" id="{C334CA24-C12A-48B8-8FFD-AFA5A87F0B6B}"/>
                  </a:ext>
                </a:extLst>
              </xdr:cNvPr>
              <xdr:cNvCxnSpPr/>
            </xdr:nvCxnSpPr>
            <xdr:spPr>
              <a:xfrm>
                <a:off x="1665521" y="2858254"/>
                <a:ext cx="0" cy="167857"/>
              </a:xfrm>
              <a:prstGeom prst="line">
                <a:avLst/>
              </a:prstGeom>
              <a:ln w="3810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grpSp>
        <xdr:grpSp>
          <xdr:nvGrpSpPr>
            <xdr:cNvPr id="101" name="Group 100">
              <a:extLst>
                <a:ext uri="{FF2B5EF4-FFF2-40B4-BE49-F238E27FC236}">
                  <a16:creationId xmlns:a16="http://schemas.microsoft.com/office/drawing/2014/main" id="{52F78939-7D41-4E2F-90EA-95938AB5DE81}"/>
                </a:ext>
              </a:extLst>
            </xdr:cNvPr>
            <xdr:cNvGrpSpPr/>
          </xdr:nvGrpSpPr>
          <xdr:grpSpPr>
            <a:xfrm>
              <a:off x="11342395" y="632460"/>
              <a:ext cx="275468" cy="374078"/>
              <a:chOff x="1326896" y="2231505"/>
              <a:chExt cx="634169" cy="794606"/>
            </a:xfrm>
          </xdr:grpSpPr>
          <xdr:sp macro="" textlink="">
            <xdr:nvSpPr>
              <xdr:cNvPr id="102" name="Oval 101">
                <a:extLst>
                  <a:ext uri="{FF2B5EF4-FFF2-40B4-BE49-F238E27FC236}">
                    <a16:creationId xmlns:a16="http://schemas.microsoft.com/office/drawing/2014/main" id="{6ADB63C1-2353-4260-A4C2-6212A74B8082}"/>
                  </a:ext>
                </a:extLst>
              </xdr:cNvPr>
              <xdr:cNvSpPr/>
            </xdr:nvSpPr>
            <xdr:spPr>
              <a:xfrm>
                <a:off x="1326896" y="2231505"/>
                <a:ext cx="634169" cy="609993"/>
              </a:xfrm>
              <a:prstGeom prst="ellipse">
                <a:avLst/>
              </a:prstGeom>
              <a:solidFill>
                <a:schemeClr val="accent4">
                  <a:lumMod val="40000"/>
                  <a:lumOff val="60000"/>
                </a:schemeClr>
              </a:solidFill>
              <a:ln w="9525">
                <a:solidFill>
                  <a:schemeClr val="bg1">
                    <a:lumMod val="50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AU"/>
              </a:p>
            </xdr:txBody>
          </xdr:sp>
          <xdr:cxnSp macro="">
            <xdr:nvCxnSpPr>
              <xdr:cNvPr id="103" name="Straight Arrow Connector 102">
                <a:extLst>
                  <a:ext uri="{FF2B5EF4-FFF2-40B4-BE49-F238E27FC236}">
                    <a16:creationId xmlns:a16="http://schemas.microsoft.com/office/drawing/2014/main" id="{38A3DD7F-816E-4F04-B776-69891484A8A7}"/>
                  </a:ext>
                </a:extLst>
              </xdr:cNvPr>
              <xdr:cNvCxnSpPr>
                <a:cxnSpLocks/>
                <a:endCxn id="102" idx="5"/>
              </xdr:cNvCxnSpPr>
            </xdr:nvCxnSpPr>
            <xdr:spPr>
              <a:xfrm>
                <a:off x="1642013" y="2550063"/>
                <a:ext cx="226180" cy="202104"/>
              </a:xfrm>
              <a:prstGeom prst="straightConnector1">
                <a:avLst/>
              </a:prstGeom>
              <a:ln w="12700">
                <a:solidFill>
                  <a:schemeClr val="tx1">
                    <a:lumMod val="95000"/>
                    <a:lumOff val="5000"/>
                  </a:schemeClr>
                </a:solidFill>
                <a:bevel/>
                <a:headEnd type="none" w="sm" len="lg"/>
                <a:tailEnd type="triangle" w="sm" len="sm"/>
              </a:ln>
            </xdr:spPr>
            <xdr:style>
              <a:lnRef idx="1">
                <a:schemeClr val="accent1"/>
              </a:lnRef>
              <a:fillRef idx="0">
                <a:schemeClr val="accent1"/>
              </a:fillRef>
              <a:effectRef idx="0">
                <a:schemeClr val="accent1"/>
              </a:effectRef>
              <a:fontRef idx="minor">
                <a:schemeClr val="tx1"/>
              </a:fontRef>
            </xdr:style>
          </xdr:cxnSp>
          <xdr:cxnSp macro="">
            <xdr:nvCxnSpPr>
              <xdr:cNvPr id="104" name="Straight Connector 103">
                <a:extLst>
                  <a:ext uri="{FF2B5EF4-FFF2-40B4-BE49-F238E27FC236}">
                    <a16:creationId xmlns:a16="http://schemas.microsoft.com/office/drawing/2014/main" id="{FC76FA38-A3F0-4FEC-B1E7-98F015EBBA93}"/>
                  </a:ext>
                </a:extLst>
              </xdr:cNvPr>
              <xdr:cNvCxnSpPr/>
            </xdr:nvCxnSpPr>
            <xdr:spPr>
              <a:xfrm>
                <a:off x="1665521" y="2858254"/>
                <a:ext cx="0" cy="167857"/>
              </a:xfrm>
              <a:prstGeom prst="line">
                <a:avLst/>
              </a:prstGeom>
              <a:ln w="3810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105" name="Freeform: Shape 104">
              <a:extLst>
                <a:ext uri="{FF2B5EF4-FFF2-40B4-BE49-F238E27FC236}">
                  <a16:creationId xmlns:a16="http://schemas.microsoft.com/office/drawing/2014/main" id="{72AFF79C-31DB-46A7-8783-A48FA293A5C6}"/>
                </a:ext>
              </a:extLst>
            </xdr:cNvPr>
            <xdr:cNvSpPr/>
          </xdr:nvSpPr>
          <xdr:spPr>
            <a:xfrm>
              <a:off x="3946525" y="1420635"/>
              <a:ext cx="906308" cy="1444411"/>
            </a:xfrm>
            <a:custGeom>
              <a:avLst/>
              <a:gdLst>
                <a:gd name="connsiteX0" fmla="*/ 0 w 717177"/>
                <a:gd name="connsiteY0" fmla="*/ 0 h 291353"/>
                <a:gd name="connsiteX1" fmla="*/ 168089 w 717177"/>
                <a:gd name="connsiteY1" fmla="*/ 190500 h 291353"/>
                <a:gd name="connsiteX2" fmla="*/ 717177 w 717177"/>
                <a:gd name="connsiteY2" fmla="*/ 291353 h 291353"/>
              </a:gdLst>
              <a:ahLst/>
              <a:cxnLst>
                <a:cxn ang="0">
                  <a:pos x="connsiteX0" y="connsiteY0"/>
                </a:cxn>
                <a:cxn ang="0">
                  <a:pos x="connsiteX1" y="connsiteY1"/>
                </a:cxn>
                <a:cxn ang="0">
                  <a:pos x="connsiteX2" y="connsiteY2"/>
                </a:cxn>
              </a:cxnLst>
              <a:rect l="l" t="t" r="r" b="b"/>
              <a:pathLst>
                <a:path w="717177" h="291353">
                  <a:moveTo>
                    <a:pt x="0" y="0"/>
                  </a:moveTo>
                  <a:cubicBezTo>
                    <a:pt x="24280" y="70970"/>
                    <a:pt x="48560" y="141941"/>
                    <a:pt x="168089" y="190500"/>
                  </a:cubicBezTo>
                  <a:cubicBezTo>
                    <a:pt x="287619" y="239059"/>
                    <a:pt x="502398" y="265206"/>
                    <a:pt x="717177" y="291353"/>
                  </a:cubicBezTo>
                </a:path>
              </a:pathLst>
            </a:custGeom>
            <a:noFill/>
            <a:ln>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106" name="Freeform: Shape 105">
              <a:extLst>
                <a:ext uri="{FF2B5EF4-FFF2-40B4-BE49-F238E27FC236}">
                  <a16:creationId xmlns:a16="http://schemas.microsoft.com/office/drawing/2014/main" id="{9A8397DA-5420-46DF-8265-2C59257C9F12}"/>
                </a:ext>
              </a:extLst>
            </xdr:cNvPr>
            <xdr:cNvSpPr/>
          </xdr:nvSpPr>
          <xdr:spPr>
            <a:xfrm flipH="1">
              <a:off x="6826250" y="1432193"/>
              <a:ext cx="304800" cy="1137017"/>
            </a:xfrm>
            <a:custGeom>
              <a:avLst/>
              <a:gdLst>
                <a:gd name="connsiteX0" fmla="*/ 0 w 717177"/>
                <a:gd name="connsiteY0" fmla="*/ 0 h 291353"/>
                <a:gd name="connsiteX1" fmla="*/ 168089 w 717177"/>
                <a:gd name="connsiteY1" fmla="*/ 190500 h 291353"/>
                <a:gd name="connsiteX2" fmla="*/ 717177 w 717177"/>
                <a:gd name="connsiteY2" fmla="*/ 291353 h 291353"/>
              </a:gdLst>
              <a:ahLst/>
              <a:cxnLst>
                <a:cxn ang="0">
                  <a:pos x="connsiteX0" y="connsiteY0"/>
                </a:cxn>
                <a:cxn ang="0">
                  <a:pos x="connsiteX1" y="connsiteY1"/>
                </a:cxn>
                <a:cxn ang="0">
                  <a:pos x="connsiteX2" y="connsiteY2"/>
                </a:cxn>
              </a:cxnLst>
              <a:rect l="l" t="t" r="r" b="b"/>
              <a:pathLst>
                <a:path w="717177" h="291353">
                  <a:moveTo>
                    <a:pt x="0" y="0"/>
                  </a:moveTo>
                  <a:cubicBezTo>
                    <a:pt x="24280" y="70970"/>
                    <a:pt x="48560" y="141941"/>
                    <a:pt x="168089" y="190500"/>
                  </a:cubicBezTo>
                  <a:cubicBezTo>
                    <a:pt x="287619" y="239059"/>
                    <a:pt x="502398" y="265206"/>
                    <a:pt x="717177" y="291353"/>
                  </a:cubicBezTo>
                </a:path>
              </a:pathLst>
            </a:custGeom>
            <a:noFill/>
            <a:ln>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107" name="Freeform: Shape 106">
              <a:extLst>
                <a:ext uri="{FF2B5EF4-FFF2-40B4-BE49-F238E27FC236}">
                  <a16:creationId xmlns:a16="http://schemas.microsoft.com/office/drawing/2014/main" id="{6297EB04-9C05-4D05-AF91-B8AC23D380CC}"/>
                </a:ext>
              </a:extLst>
            </xdr:cNvPr>
            <xdr:cNvSpPr/>
          </xdr:nvSpPr>
          <xdr:spPr>
            <a:xfrm rot="16371399">
              <a:off x="5299177" y="2807784"/>
              <a:ext cx="695419" cy="682662"/>
            </a:xfrm>
            <a:custGeom>
              <a:avLst/>
              <a:gdLst>
                <a:gd name="connsiteX0" fmla="*/ 0 w 4066859"/>
                <a:gd name="connsiteY0" fmla="*/ 369794 h 856510"/>
                <a:gd name="connsiteX1" fmla="*/ 414617 w 4066859"/>
                <a:gd name="connsiteY1" fmla="*/ 381000 h 856510"/>
                <a:gd name="connsiteX2" fmla="*/ 470647 w 4066859"/>
                <a:gd name="connsiteY2" fmla="*/ 784412 h 856510"/>
                <a:gd name="connsiteX3" fmla="*/ 1120588 w 4066859"/>
                <a:gd name="connsiteY3" fmla="*/ 806823 h 856510"/>
                <a:gd name="connsiteX4" fmla="*/ 3821206 w 4066859"/>
                <a:gd name="connsiteY4" fmla="*/ 268941 h 856510"/>
                <a:gd name="connsiteX5" fmla="*/ 3776382 w 4066859"/>
                <a:gd name="connsiteY5" fmla="*/ 0 h 856510"/>
                <a:gd name="connsiteX0" fmla="*/ 0 w 4066859"/>
                <a:gd name="connsiteY0" fmla="*/ 369794 h 867391"/>
                <a:gd name="connsiteX1" fmla="*/ 414617 w 4066859"/>
                <a:gd name="connsiteY1" fmla="*/ 381000 h 867391"/>
                <a:gd name="connsiteX2" fmla="*/ 470647 w 4066859"/>
                <a:gd name="connsiteY2" fmla="*/ 784412 h 867391"/>
                <a:gd name="connsiteX3" fmla="*/ 1120588 w 4066859"/>
                <a:gd name="connsiteY3" fmla="*/ 806823 h 867391"/>
                <a:gd name="connsiteX4" fmla="*/ 3821206 w 4066859"/>
                <a:gd name="connsiteY4" fmla="*/ 268941 h 867391"/>
                <a:gd name="connsiteX5" fmla="*/ 3776382 w 4066859"/>
                <a:gd name="connsiteY5" fmla="*/ 0 h 867391"/>
                <a:gd name="connsiteX0" fmla="*/ 0 w 4066859"/>
                <a:gd name="connsiteY0" fmla="*/ 369794 h 856510"/>
                <a:gd name="connsiteX1" fmla="*/ 414617 w 4066859"/>
                <a:gd name="connsiteY1" fmla="*/ 381000 h 856510"/>
                <a:gd name="connsiteX2" fmla="*/ 470647 w 4066859"/>
                <a:gd name="connsiteY2" fmla="*/ 784412 h 856510"/>
                <a:gd name="connsiteX3" fmla="*/ 1120588 w 4066859"/>
                <a:gd name="connsiteY3" fmla="*/ 806823 h 856510"/>
                <a:gd name="connsiteX4" fmla="*/ 3821206 w 4066859"/>
                <a:gd name="connsiteY4" fmla="*/ 268941 h 856510"/>
                <a:gd name="connsiteX5" fmla="*/ 3776382 w 4066859"/>
                <a:gd name="connsiteY5" fmla="*/ 0 h 856510"/>
                <a:gd name="connsiteX0" fmla="*/ 0 w 3899203"/>
                <a:gd name="connsiteY0" fmla="*/ 369794 h 856510"/>
                <a:gd name="connsiteX1" fmla="*/ 414617 w 3899203"/>
                <a:gd name="connsiteY1" fmla="*/ 381000 h 856510"/>
                <a:gd name="connsiteX2" fmla="*/ 470647 w 3899203"/>
                <a:gd name="connsiteY2" fmla="*/ 784412 h 856510"/>
                <a:gd name="connsiteX3" fmla="*/ 1120588 w 3899203"/>
                <a:gd name="connsiteY3" fmla="*/ 806823 h 856510"/>
                <a:gd name="connsiteX4" fmla="*/ 3821206 w 3899203"/>
                <a:gd name="connsiteY4" fmla="*/ 268941 h 856510"/>
                <a:gd name="connsiteX5" fmla="*/ 3776382 w 3899203"/>
                <a:gd name="connsiteY5" fmla="*/ 0 h 856510"/>
                <a:gd name="connsiteX0" fmla="*/ 0 w 3821619"/>
                <a:gd name="connsiteY0" fmla="*/ 369794 h 856510"/>
                <a:gd name="connsiteX1" fmla="*/ 414617 w 3821619"/>
                <a:gd name="connsiteY1" fmla="*/ 381000 h 856510"/>
                <a:gd name="connsiteX2" fmla="*/ 470647 w 3821619"/>
                <a:gd name="connsiteY2" fmla="*/ 784412 h 856510"/>
                <a:gd name="connsiteX3" fmla="*/ 1120588 w 3821619"/>
                <a:gd name="connsiteY3" fmla="*/ 806823 h 856510"/>
                <a:gd name="connsiteX4" fmla="*/ 3821206 w 3821619"/>
                <a:gd name="connsiteY4" fmla="*/ 268941 h 856510"/>
                <a:gd name="connsiteX5" fmla="*/ 3776382 w 3821619"/>
                <a:gd name="connsiteY5" fmla="*/ 0 h 856510"/>
                <a:gd name="connsiteX0" fmla="*/ 0 w 3778354"/>
                <a:gd name="connsiteY0" fmla="*/ 369794 h 856510"/>
                <a:gd name="connsiteX1" fmla="*/ 414617 w 3778354"/>
                <a:gd name="connsiteY1" fmla="*/ 381000 h 856510"/>
                <a:gd name="connsiteX2" fmla="*/ 470647 w 3778354"/>
                <a:gd name="connsiteY2" fmla="*/ 784412 h 856510"/>
                <a:gd name="connsiteX3" fmla="*/ 1120588 w 3778354"/>
                <a:gd name="connsiteY3" fmla="*/ 806823 h 856510"/>
                <a:gd name="connsiteX4" fmla="*/ 3776382 w 3778354"/>
                <a:gd name="connsiteY4" fmla="*/ 268941 h 856510"/>
                <a:gd name="connsiteX5" fmla="*/ 3776382 w 3778354"/>
                <a:gd name="connsiteY5" fmla="*/ 0 h 856510"/>
                <a:gd name="connsiteX0" fmla="*/ 0 w 3778354"/>
                <a:gd name="connsiteY0" fmla="*/ 369794 h 856510"/>
                <a:gd name="connsiteX1" fmla="*/ 414617 w 3778354"/>
                <a:gd name="connsiteY1" fmla="*/ 381000 h 856510"/>
                <a:gd name="connsiteX2" fmla="*/ 470647 w 3778354"/>
                <a:gd name="connsiteY2" fmla="*/ 784412 h 856510"/>
                <a:gd name="connsiteX3" fmla="*/ 1120588 w 3778354"/>
                <a:gd name="connsiteY3" fmla="*/ 806823 h 856510"/>
                <a:gd name="connsiteX4" fmla="*/ 3776382 w 3778354"/>
                <a:gd name="connsiteY4" fmla="*/ 268941 h 856510"/>
                <a:gd name="connsiteX5" fmla="*/ 3776382 w 3778354"/>
                <a:gd name="connsiteY5" fmla="*/ 0 h 856510"/>
                <a:gd name="connsiteX0" fmla="*/ 833 w 3779187"/>
                <a:gd name="connsiteY0" fmla="*/ 369794 h 856510"/>
                <a:gd name="connsiteX1" fmla="*/ 415450 w 3779187"/>
                <a:gd name="connsiteY1" fmla="*/ 381000 h 856510"/>
                <a:gd name="connsiteX2" fmla="*/ 471480 w 3779187"/>
                <a:gd name="connsiteY2" fmla="*/ 784412 h 856510"/>
                <a:gd name="connsiteX3" fmla="*/ 1121421 w 3779187"/>
                <a:gd name="connsiteY3" fmla="*/ 806823 h 856510"/>
                <a:gd name="connsiteX4" fmla="*/ 3777215 w 3779187"/>
                <a:gd name="connsiteY4" fmla="*/ 268941 h 856510"/>
                <a:gd name="connsiteX5" fmla="*/ 3777215 w 3779187"/>
                <a:gd name="connsiteY5" fmla="*/ 0 h 856510"/>
                <a:gd name="connsiteX0" fmla="*/ 1001 w 3779355"/>
                <a:gd name="connsiteY0" fmla="*/ 369794 h 867257"/>
                <a:gd name="connsiteX1" fmla="*/ 415618 w 3779355"/>
                <a:gd name="connsiteY1" fmla="*/ 381000 h 867257"/>
                <a:gd name="connsiteX2" fmla="*/ 460442 w 3779355"/>
                <a:gd name="connsiteY2" fmla="*/ 806824 h 867257"/>
                <a:gd name="connsiteX3" fmla="*/ 1121589 w 3779355"/>
                <a:gd name="connsiteY3" fmla="*/ 806823 h 867257"/>
                <a:gd name="connsiteX4" fmla="*/ 3777383 w 3779355"/>
                <a:gd name="connsiteY4" fmla="*/ 268941 h 867257"/>
                <a:gd name="connsiteX5" fmla="*/ 3777383 w 3779355"/>
                <a:gd name="connsiteY5" fmla="*/ 0 h 867257"/>
                <a:gd name="connsiteX0" fmla="*/ 1001 w 3779355"/>
                <a:gd name="connsiteY0" fmla="*/ 369794 h 873360"/>
                <a:gd name="connsiteX1" fmla="*/ 415618 w 3779355"/>
                <a:gd name="connsiteY1" fmla="*/ 381000 h 873360"/>
                <a:gd name="connsiteX2" fmla="*/ 460442 w 3779355"/>
                <a:gd name="connsiteY2" fmla="*/ 818030 h 873360"/>
                <a:gd name="connsiteX3" fmla="*/ 1121589 w 3779355"/>
                <a:gd name="connsiteY3" fmla="*/ 806823 h 873360"/>
                <a:gd name="connsiteX4" fmla="*/ 3777383 w 3779355"/>
                <a:gd name="connsiteY4" fmla="*/ 268941 h 873360"/>
                <a:gd name="connsiteX5" fmla="*/ 3777383 w 3779355"/>
                <a:gd name="connsiteY5" fmla="*/ 0 h 873360"/>
                <a:gd name="connsiteX0" fmla="*/ 1001 w 3779355"/>
                <a:gd name="connsiteY0" fmla="*/ 369794 h 851574"/>
                <a:gd name="connsiteX1" fmla="*/ 415618 w 3779355"/>
                <a:gd name="connsiteY1" fmla="*/ 381000 h 851574"/>
                <a:gd name="connsiteX2" fmla="*/ 460442 w 3779355"/>
                <a:gd name="connsiteY2" fmla="*/ 818030 h 851574"/>
                <a:gd name="connsiteX3" fmla="*/ 1121589 w 3779355"/>
                <a:gd name="connsiteY3" fmla="*/ 806823 h 851574"/>
                <a:gd name="connsiteX4" fmla="*/ 3777383 w 3779355"/>
                <a:gd name="connsiteY4" fmla="*/ 268941 h 851574"/>
                <a:gd name="connsiteX5" fmla="*/ 3777383 w 3779355"/>
                <a:gd name="connsiteY5" fmla="*/ 0 h 851574"/>
                <a:gd name="connsiteX0" fmla="*/ 873 w 3779227"/>
                <a:gd name="connsiteY0" fmla="*/ 369794 h 851574"/>
                <a:gd name="connsiteX1" fmla="*/ 415490 w 3779227"/>
                <a:gd name="connsiteY1" fmla="*/ 381000 h 851574"/>
                <a:gd name="connsiteX2" fmla="*/ 460314 w 3779227"/>
                <a:gd name="connsiteY2" fmla="*/ 818030 h 851574"/>
                <a:gd name="connsiteX3" fmla="*/ 1121461 w 3779227"/>
                <a:gd name="connsiteY3" fmla="*/ 806823 h 851574"/>
                <a:gd name="connsiteX4" fmla="*/ 3777255 w 3779227"/>
                <a:gd name="connsiteY4" fmla="*/ 268941 h 851574"/>
                <a:gd name="connsiteX5" fmla="*/ 3777255 w 3779227"/>
                <a:gd name="connsiteY5" fmla="*/ 0 h 851574"/>
                <a:gd name="connsiteX0" fmla="*/ 873 w 3779227"/>
                <a:gd name="connsiteY0" fmla="*/ 369794 h 822944"/>
                <a:gd name="connsiteX1" fmla="*/ 415490 w 3779227"/>
                <a:gd name="connsiteY1" fmla="*/ 381000 h 822944"/>
                <a:gd name="connsiteX2" fmla="*/ 460314 w 3779227"/>
                <a:gd name="connsiteY2" fmla="*/ 818030 h 822944"/>
                <a:gd name="connsiteX3" fmla="*/ 1121461 w 3779227"/>
                <a:gd name="connsiteY3" fmla="*/ 806823 h 822944"/>
                <a:gd name="connsiteX4" fmla="*/ 3777255 w 3779227"/>
                <a:gd name="connsiteY4" fmla="*/ 268941 h 822944"/>
                <a:gd name="connsiteX5" fmla="*/ 3777255 w 3779227"/>
                <a:gd name="connsiteY5" fmla="*/ 0 h 822944"/>
                <a:gd name="connsiteX0" fmla="*/ 873 w 3779227"/>
                <a:gd name="connsiteY0" fmla="*/ 369794 h 854644"/>
                <a:gd name="connsiteX1" fmla="*/ 415490 w 3779227"/>
                <a:gd name="connsiteY1" fmla="*/ 347382 h 854644"/>
                <a:gd name="connsiteX2" fmla="*/ 460314 w 3779227"/>
                <a:gd name="connsiteY2" fmla="*/ 818030 h 854644"/>
                <a:gd name="connsiteX3" fmla="*/ 1121461 w 3779227"/>
                <a:gd name="connsiteY3" fmla="*/ 806823 h 854644"/>
                <a:gd name="connsiteX4" fmla="*/ 3777255 w 3779227"/>
                <a:gd name="connsiteY4" fmla="*/ 268941 h 854644"/>
                <a:gd name="connsiteX5" fmla="*/ 3777255 w 3779227"/>
                <a:gd name="connsiteY5" fmla="*/ 0 h 854644"/>
                <a:gd name="connsiteX0" fmla="*/ 873 w 3779227"/>
                <a:gd name="connsiteY0" fmla="*/ 369794 h 818294"/>
                <a:gd name="connsiteX1" fmla="*/ 415490 w 3779227"/>
                <a:gd name="connsiteY1" fmla="*/ 347382 h 818294"/>
                <a:gd name="connsiteX2" fmla="*/ 460314 w 3779227"/>
                <a:gd name="connsiteY2" fmla="*/ 818030 h 818294"/>
                <a:gd name="connsiteX3" fmla="*/ 1121461 w 3779227"/>
                <a:gd name="connsiteY3" fmla="*/ 806823 h 818294"/>
                <a:gd name="connsiteX4" fmla="*/ 3777255 w 3779227"/>
                <a:gd name="connsiteY4" fmla="*/ 268941 h 818294"/>
                <a:gd name="connsiteX5" fmla="*/ 3777255 w 3779227"/>
                <a:gd name="connsiteY5" fmla="*/ 0 h 818294"/>
                <a:gd name="connsiteX0" fmla="*/ 873 w 3779227"/>
                <a:gd name="connsiteY0" fmla="*/ 369794 h 852988"/>
                <a:gd name="connsiteX1" fmla="*/ 415490 w 3779227"/>
                <a:gd name="connsiteY1" fmla="*/ 369794 h 852988"/>
                <a:gd name="connsiteX2" fmla="*/ 460314 w 3779227"/>
                <a:gd name="connsiteY2" fmla="*/ 818030 h 852988"/>
                <a:gd name="connsiteX3" fmla="*/ 1121461 w 3779227"/>
                <a:gd name="connsiteY3" fmla="*/ 806823 h 852988"/>
                <a:gd name="connsiteX4" fmla="*/ 3777255 w 3779227"/>
                <a:gd name="connsiteY4" fmla="*/ 268941 h 852988"/>
                <a:gd name="connsiteX5" fmla="*/ 3777255 w 3779227"/>
                <a:gd name="connsiteY5" fmla="*/ 0 h 852988"/>
                <a:gd name="connsiteX0" fmla="*/ 873 w 3779227"/>
                <a:gd name="connsiteY0" fmla="*/ 369794 h 819237"/>
                <a:gd name="connsiteX1" fmla="*/ 415490 w 3779227"/>
                <a:gd name="connsiteY1" fmla="*/ 369794 h 819237"/>
                <a:gd name="connsiteX2" fmla="*/ 460314 w 3779227"/>
                <a:gd name="connsiteY2" fmla="*/ 818030 h 819237"/>
                <a:gd name="connsiteX3" fmla="*/ 1121461 w 3779227"/>
                <a:gd name="connsiteY3" fmla="*/ 806823 h 819237"/>
                <a:gd name="connsiteX4" fmla="*/ 3777255 w 3779227"/>
                <a:gd name="connsiteY4" fmla="*/ 268941 h 819237"/>
                <a:gd name="connsiteX5" fmla="*/ 3777255 w 3779227"/>
                <a:gd name="connsiteY5" fmla="*/ 0 h 819237"/>
                <a:gd name="connsiteX0" fmla="*/ 873 w 3779227"/>
                <a:gd name="connsiteY0" fmla="*/ 369794 h 818481"/>
                <a:gd name="connsiteX1" fmla="*/ 415490 w 3779227"/>
                <a:gd name="connsiteY1" fmla="*/ 369794 h 818481"/>
                <a:gd name="connsiteX2" fmla="*/ 460314 w 3779227"/>
                <a:gd name="connsiteY2" fmla="*/ 818030 h 818481"/>
                <a:gd name="connsiteX3" fmla="*/ 1121461 w 3779227"/>
                <a:gd name="connsiteY3" fmla="*/ 806823 h 818481"/>
                <a:gd name="connsiteX4" fmla="*/ 3777255 w 3779227"/>
                <a:gd name="connsiteY4" fmla="*/ 268941 h 818481"/>
                <a:gd name="connsiteX5" fmla="*/ 3777255 w 3779227"/>
                <a:gd name="connsiteY5" fmla="*/ 0 h 818481"/>
                <a:gd name="connsiteX0" fmla="*/ 873 w 3971566"/>
                <a:gd name="connsiteY0" fmla="*/ 460933 h 909620"/>
                <a:gd name="connsiteX1" fmla="*/ 415490 w 3971566"/>
                <a:gd name="connsiteY1" fmla="*/ 460933 h 909620"/>
                <a:gd name="connsiteX2" fmla="*/ 460314 w 3971566"/>
                <a:gd name="connsiteY2" fmla="*/ 909169 h 909620"/>
                <a:gd name="connsiteX3" fmla="*/ 1121461 w 3971566"/>
                <a:gd name="connsiteY3" fmla="*/ 897962 h 909620"/>
                <a:gd name="connsiteX4" fmla="*/ 3777255 w 3971566"/>
                <a:gd name="connsiteY4" fmla="*/ 360080 h 909620"/>
                <a:gd name="connsiteX5" fmla="*/ 3771823 w 3971566"/>
                <a:gd name="connsiteY5" fmla="*/ 0 h 909620"/>
                <a:gd name="connsiteX0" fmla="*/ 873 w 3971566"/>
                <a:gd name="connsiteY0" fmla="*/ 460933 h 909620"/>
                <a:gd name="connsiteX1" fmla="*/ 415490 w 3971566"/>
                <a:gd name="connsiteY1" fmla="*/ 460933 h 909620"/>
                <a:gd name="connsiteX2" fmla="*/ 460314 w 3971566"/>
                <a:gd name="connsiteY2" fmla="*/ 909169 h 909620"/>
                <a:gd name="connsiteX3" fmla="*/ 1121461 w 3971566"/>
                <a:gd name="connsiteY3" fmla="*/ 897962 h 909620"/>
                <a:gd name="connsiteX4" fmla="*/ 3777255 w 3971566"/>
                <a:gd name="connsiteY4" fmla="*/ 360080 h 909620"/>
                <a:gd name="connsiteX5" fmla="*/ 3771823 w 3971566"/>
                <a:gd name="connsiteY5" fmla="*/ 0 h 909620"/>
                <a:gd name="connsiteX0" fmla="*/ 873 w 3777258"/>
                <a:gd name="connsiteY0" fmla="*/ 460933 h 909620"/>
                <a:gd name="connsiteX1" fmla="*/ 415490 w 3777258"/>
                <a:gd name="connsiteY1" fmla="*/ 460933 h 909620"/>
                <a:gd name="connsiteX2" fmla="*/ 460314 w 3777258"/>
                <a:gd name="connsiteY2" fmla="*/ 909169 h 909620"/>
                <a:gd name="connsiteX3" fmla="*/ 1121461 w 3777258"/>
                <a:gd name="connsiteY3" fmla="*/ 897962 h 909620"/>
                <a:gd name="connsiteX4" fmla="*/ 3777255 w 3777258"/>
                <a:gd name="connsiteY4" fmla="*/ 360080 h 909620"/>
                <a:gd name="connsiteX5" fmla="*/ 3771823 w 3777258"/>
                <a:gd name="connsiteY5" fmla="*/ 0 h 909620"/>
                <a:gd name="connsiteX0" fmla="*/ 873 w 3777258"/>
                <a:gd name="connsiteY0" fmla="*/ 460933 h 909620"/>
                <a:gd name="connsiteX1" fmla="*/ 415490 w 3777258"/>
                <a:gd name="connsiteY1" fmla="*/ 460933 h 909620"/>
                <a:gd name="connsiteX2" fmla="*/ 460314 w 3777258"/>
                <a:gd name="connsiteY2" fmla="*/ 909169 h 909620"/>
                <a:gd name="connsiteX3" fmla="*/ 1121461 w 3777258"/>
                <a:gd name="connsiteY3" fmla="*/ 897962 h 909620"/>
                <a:gd name="connsiteX4" fmla="*/ 3777255 w 3777258"/>
                <a:gd name="connsiteY4" fmla="*/ 360080 h 909620"/>
                <a:gd name="connsiteX5" fmla="*/ 3771823 w 3777258"/>
                <a:gd name="connsiteY5" fmla="*/ 0 h 909620"/>
                <a:gd name="connsiteX0" fmla="*/ 873 w 3777258"/>
                <a:gd name="connsiteY0" fmla="*/ 460933 h 910336"/>
                <a:gd name="connsiteX1" fmla="*/ 415490 w 3777258"/>
                <a:gd name="connsiteY1" fmla="*/ 460933 h 910336"/>
                <a:gd name="connsiteX2" fmla="*/ 460314 w 3777258"/>
                <a:gd name="connsiteY2" fmla="*/ 909169 h 910336"/>
                <a:gd name="connsiteX3" fmla="*/ 1121461 w 3777258"/>
                <a:gd name="connsiteY3" fmla="*/ 897962 h 910336"/>
                <a:gd name="connsiteX4" fmla="*/ 3777255 w 3777258"/>
                <a:gd name="connsiteY4" fmla="*/ 360080 h 910336"/>
                <a:gd name="connsiteX5" fmla="*/ 3771823 w 3777258"/>
                <a:gd name="connsiteY5" fmla="*/ 0 h 910336"/>
                <a:gd name="connsiteX0" fmla="*/ 873 w 3777258"/>
                <a:gd name="connsiteY0" fmla="*/ 100853 h 550256"/>
                <a:gd name="connsiteX1" fmla="*/ 415490 w 3777258"/>
                <a:gd name="connsiteY1" fmla="*/ 100853 h 550256"/>
                <a:gd name="connsiteX2" fmla="*/ 460314 w 3777258"/>
                <a:gd name="connsiteY2" fmla="*/ 549089 h 550256"/>
                <a:gd name="connsiteX3" fmla="*/ 1121461 w 3777258"/>
                <a:gd name="connsiteY3" fmla="*/ 537882 h 550256"/>
                <a:gd name="connsiteX4" fmla="*/ 3777255 w 3777258"/>
                <a:gd name="connsiteY4" fmla="*/ 0 h 550256"/>
                <a:gd name="connsiteX0" fmla="*/ 873 w 1121461"/>
                <a:gd name="connsiteY0" fmla="*/ 9820 h 459223"/>
                <a:gd name="connsiteX1" fmla="*/ 415490 w 1121461"/>
                <a:gd name="connsiteY1" fmla="*/ 9820 h 459223"/>
                <a:gd name="connsiteX2" fmla="*/ 460314 w 1121461"/>
                <a:gd name="connsiteY2" fmla="*/ 458056 h 459223"/>
                <a:gd name="connsiteX3" fmla="*/ 1121461 w 1121461"/>
                <a:gd name="connsiteY3" fmla="*/ 446849 h 459223"/>
                <a:gd name="connsiteX0" fmla="*/ 873 w 460314"/>
                <a:gd name="connsiteY0" fmla="*/ 9820 h 459223"/>
                <a:gd name="connsiteX1" fmla="*/ 415490 w 460314"/>
                <a:gd name="connsiteY1" fmla="*/ 9820 h 459223"/>
                <a:gd name="connsiteX2" fmla="*/ 460314 w 460314"/>
                <a:gd name="connsiteY2" fmla="*/ 458056 h 459223"/>
                <a:gd name="connsiteX0" fmla="*/ 854 w 460295"/>
                <a:gd name="connsiteY0" fmla="*/ 1074 h 451276"/>
                <a:gd name="connsiteX1" fmla="*/ 425434 w 460295"/>
                <a:gd name="connsiteY1" fmla="*/ 198723 h 451276"/>
                <a:gd name="connsiteX2" fmla="*/ 460295 w 460295"/>
                <a:gd name="connsiteY2" fmla="*/ 449310 h 451276"/>
                <a:gd name="connsiteX0" fmla="*/ 820 w 563419"/>
                <a:gd name="connsiteY0" fmla="*/ 1298 h 485561"/>
                <a:gd name="connsiteX1" fmla="*/ 512864 w 563419"/>
                <a:gd name="connsiteY1" fmla="*/ 232368 h 485561"/>
                <a:gd name="connsiteX2" fmla="*/ 547725 w 563419"/>
                <a:gd name="connsiteY2" fmla="*/ 482955 h 485561"/>
                <a:gd name="connsiteX0" fmla="*/ 700 w 547605"/>
                <a:gd name="connsiteY0" fmla="*/ 904 h 484474"/>
                <a:gd name="connsiteX1" fmla="*/ 512744 w 547605"/>
                <a:gd name="connsiteY1" fmla="*/ 231974 h 484474"/>
                <a:gd name="connsiteX2" fmla="*/ 547605 w 547605"/>
                <a:gd name="connsiteY2" fmla="*/ 482561 h 484474"/>
                <a:gd name="connsiteX0" fmla="*/ 0 w 546905"/>
                <a:gd name="connsiteY0" fmla="*/ 0 h 483569"/>
                <a:gd name="connsiteX1" fmla="*/ 512044 w 546905"/>
                <a:gd name="connsiteY1" fmla="*/ 231070 h 483569"/>
                <a:gd name="connsiteX2" fmla="*/ 546905 w 546905"/>
                <a:gd name="connsiteY2" fmla="*/ 481657 h 483569"/>
              </a:gdLst>
              <a:ahLst/>
              <a:cxnLst>
                <a:cxn ang="0">
                  <a:pos x="connsiteX0" y="connsiteY0"/>
                </a:cxn>
                <a:cxn ang="0">
                  <a:pos x="connsiteX1" y="connsiteY1"/>
                </a:cxn>
                <a:cxn ang="0">
                  <a:pos x="connsiteX2" y="connsiteY2"/>
                </a:cxn>
              </a:cxnLst>
              <a:rect l="l" t="t" r="r" b="b"/>
              <a:pathLst>
                <a:path w="546905" h="483569">
                  <a:moveTo>
                    <a:pt x="0" y="0"/>
                  </a:moveTo>
                  <a:lnTo>
                    <a:pt x="512044" y="231070"/>
                  </a:lnTo>
                  <a:cubicBezTo>
                    <a:pt x="522864" y="230397"/>
                    <a:pt x="542328" y="509189"/>
                    <a:pt x="546905" y="481657"/>
                  </a:cubicBezTo>
                </a:path>
              </a:pathLst>
            </a:custGeom>
            <a:noFill/>
            <a:ln w="101600">
              <a:solidFill>
                <a:schemeClr val="accent5">
                  <a:lumMod val="75000"/>
                </a:schemeClr>
              </a:solidFill>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108" name="Right Brace 107">
              <a:extLst>
                <a:ext uri="{FF2B5EF4-FFF2-40B4-BE49-F238E27FC236}">
                  <a16:creationId xmlns:a16="http://schemas.microsoft.com/office/drawing/2014/main" id="{D6ADE611-A8BB-405E-9CBD-7F40A84F3EC9}"/>
                </a:ext>
              </a:extLst>
            </xdr:cNvPr>
            <xdr:cNvSpPr/>
          </xdr:nvSpPr>
          <xdr:spPr>
            <a:xfrm rot="5400000">
              <a:off x="7520515" y="2070739"/>
              <a:ext cx="266704" cy="2491316"/>
            </a:xfrm>
            <a:prstGeom prst="rightBrace">
              <a:avLst>
                <a:gd name="adj1" fmla="val 22287"/>
                <a:gd name="adj2" fmla="val 54849"/>
              </a:avLst>
            </a:prstGeom>
            <a:ln w="25400">
              <a:solidFill>
                <a:schemeClr val="bg2">
                  <a:lumMod val="50000"/>
                </a:schemeClr>
              </a:solidFill>
              <a:extLst>
                <a:ext uri="{C807C97D-BFC1-408E-A445-0C87EB9F89A2}">
                  <ask:lineSketchStyleProps xmlns:ask="http://schemas.microsoft.com/office/drawing/2018/sketchyshapes" sd="3705000160">
                    <a:custGeom>
                      <a:avLst/>
                      <a:gdLst>
                        <a:gd name="connsiteX0" fmla="*/ 0 w 481853"/>
                        <a:gd name="connsiteY0" fmla="*/ 0 h 3608295"/>
                        <a:gd name="connsiteX1" fmla="*/ 240927 w 481853"/>
                        <a:gd name="connsiteY1" fmla="*/ 40153 h 3608295"/>
                        <a:gd name="connsiteX2" fmla="*/ 240927 w 481853"/>
                        <a:gd name="connsiteY2" fmla="*/ 597383 h 3608295"/>
                        <a:gd name="connsiteX3" fmla="*/ 240927 w 481853"/>
                        <a:gd name="connsiteY3" fmla="*/ 1177358 h 3608295"/>
                        <a:gd name="connsiteX4" fmla="*/ 481854 w 481853"/>
                        <a:gd name="connsiteY4" fmla="*/ 1217511 h 3608295"/>
                        <a:gd name="connsiteX5" fmla="*/ 240927 w 481853"/>
                        <a:gd name="connsiteY5" fmla="*/ 1257664 h 3608295"/>
                        <a:gd name="connsiteX6" fmla="*/ 240927 w 481853"/>
                        <a:gd name="connsiteY6" fmla="*/ 1765969 h 3608295"/>
                        <a:gd name="connsiteX7" fmla="*/ 240927 w 481853"/>
                        <a:gd name="connsiteY7" fmla="*/ 2343589 h 3608295"/>
                        <a:gd name="connsiteX8" fmla="*/ 240927 w 481853"/>
                        <a:gd name="connsiteY8" fmla="*/ 2898103 h 3608295"/>
                        <a:gd name="connsiteX9" fmla="*/ 240927 w 481853"/>
                        <a:gd name="connsiteY9" fmla="*/ 3568142 h 3608295"/>
                        <a:gd name="connsiteX10" fmla="*/ 0 w 481853"/>
                        <a:gd name="connsiteY10" fmla="*/ 3608295 h 3608295"/>
                        <a:gd name="connsiteX11" fmla="*/ 0 w 481853"/>
                        <a:gd name="connsiteY11" fmla="*/ 3020658 h 3608295"/>
                        <a:gd name="connsiteX12" fmla="*/ 0 w 481853"/>
                        <a:gd name="connsiteY12" fmla="*/ 2541271 h 3608295"/>
                        <a:gd name="connsiteX13" fmla="*/ 0 w 481853"/>
                        <a:gd name="connsiteY13" fmla="*/ 2134049 h 3608295"/>
                        <a:gd name="connsiteX14" fmla="*/ 0 w 481853"/>
                        <a:gd name="connsiteY14" fmla="*/ 1546412 h 3608295"/>
                        <a:gd name="connsiteX15" fmla="*/ 0 w 481853"/>
                        <a:gd name="connsiteY15" fmla="*/ 958776 h 3608295"/>
                        <a:gd name="connsiteX16" fmla="*/ 0 w 481853"/>
                        <a:gd name="connsiteY16" fmla="*/ 515471 h 3608295"/>
                        <a:gd name="connsiteX17" fmla="*/ 0 w 481853"/>
                        <a:gd name="connsiteY17" fmla="*/ 0 h 3608295"/>
                        <a:gd name="connsiteX0" fmla="*/ 0 w 481853"/>
                        <a:gd name="connsiteY0" fmla="*/ 0 h 3608295"/>
                        <a:gd name="connsiteX1" fmla="*/ 240927 w 481853"/>
                        <a:gd name="connsiteY1" fmla="*/ 40153 h 3608295"/>
                        <a:gd name="connsiteX2" fmla="*/ 240927 w 481853"/>
                        <a:gd name="connsiteY2" fmla="*/ 586011 h 3608295"/>
                        <a:gd name="connsiteX3" fmla="*/ 240927 w 481853"/>
                        <a:gd name="connsiteY3" fmla="*/ 1177358 h 3608295"/>
                        <a:gd name="connsiteX4" fmla="*/ 481854 w 481853"/>
                        <a:gd name="connsiteY4" fmla="*/ 1217511 h 3608295"/>
                        <a:gd name="connsiteX5" fmla="*/ 240927 w 481853"/>
                        <a:gd name="connsiteY5" fmla="*/ 1257664 h 3608295"/>
                        <a:gd name="connsiteX6" fmla="*/ 240927 w 481853"/>
                        <a:gd name="connsiteY6" fmla="*/ 1765969 h 3608295"/>
                        <a:gd name="connsiteX7" fmla="*/ 240927 w 481853"/>
                        <a:gd name="connsiteY7" fmla="*/ 2366693 h 3608295"/>
                        <a:gd name="connsiteX8" fmla="*/ 240927 w 481853"/>
                        <a:gd name="connsiteY8" fmla="*/ 2874999 h 3608295"/>
                        <a:gd name="connsiteX9" fmla="*/ 240927 w 481853"/>
                        <a:gd name="connsiteY9" fmla="*/ 3568142 h 3608295"/>
                        <a:gd name="connsiteX10" fmla="*/ 0 w 481853"/>
                        <a:gd name="connsiteY10" fmla="*/ 3608295 h 360829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481853" h="3608295" stroke="0" extrusionOk="0">
                          <a:moveTo>
                            <a:pt x="0" y="0"/>
                          </a:moveTo>
                          <a:cubicBezTo>
                            <a:pt x="131089" y="248"/>
                            <a:pt x="239457" y="18662"/>
                            <a:pt x="240927" y="40153"/>
                          </a:cubicBezTo>
                          <a:cubicBezTo>
                            <a:pt x="254854" y="171930"/>
                            <a:pt x="190243" y="351734"/>
                            <a:pt x="240927" y="597383"/>
                          </a:cubicBezTo>
                          <a:cubicBezTo>
                            <a:pt x="291611" y="843032"/>
                            <a:pt x="201308" y="1029605"/>
                            <a:pt x="240927" y="1177358"/>
                          </a:cubicBezTo>
                          <a:cubicBezTo>
                            <a:pt x="238459" y="1191425"/>
                            <a:pt x="367072" y="1234522"/>
                            <a:pt x="481854" y="1217511"/>
                          </a:cubicBezTo>
                          <a:cubicBezTo>
                            <a:pt x="346044" y="1216053"/>
                            <a:pt x="240849" y="1234343"/>
                            <a:pt x="240927" y="1257664"/>
                          </a:cubicBezTo>
                          <a:cubicBezTo>
                            <a:pt x="295085" y="1423339"/>
                            <a:pt x="209245" y="1600641"/>
                            <a:pt x="240927" y="1765969"/>
                          </a:cubicBezTo>
                          <a:cubicBezTo>
                            <a:pt x="272609" y="1931297"/>
                            <a:pt x="208957" y="2067742"/>
                            <a:pt x="240927" y="2343589"/>
                          </a:cubicBezTo>
                          <a:cubicBezTo>
                            <a:pt x="272897" y="2619436"/>
                            <a:pt x="184052" y="2751313"/>
                            <a:pt x="240927" y="2898103"/>
                          </a:cubicBezTo>
                          <a:cubicBezTo>
                            <a:pt x="297802" y="3044893"/>
                            <a:pt x="181557" y="3385199"/>
                            <a:pt x="240927" y="3568142"/>
                          </a:cubicBezTo>
                          <a:cubicBezTo>
                            <a:pt x="267697" y="3598815"/>
                            <a:pt x="121091" y="3588264"/>
                            <a:pt x="0" y="3608295"/>
                          </a:cubicBezTo>
                          <a:cubicBezTo>
                            <a:pt x="-66658" y="3370436"/>
                            <a:pt x="60667" y="3223090"/>
                            <a:pt x="0" y="3020658"/>
                          </a:cubicBezTo>
                          <a:cubicBezTo>
                            <a:pt x="-60667" y="2818226"/>
                            <a:pt x="36565" y="2665929"/>
                            <a:pt x="0" y="2541271"/>
                          </a:cubicBezTo>
                          <a:cubicBezTo>
                            <a:pt x="-36565" y="2416613"/>
                            <a:pt x="31079" y="2314505"/>
                            <a:pt x="0" y="2134049"/>
                          </a:cubicBezTo>
                          <a:cubicBezTo>
                            <a:pt x="-31079" y="1953593"/>
                            <a:pt x="36623" y="1828673"/>
                            <a:pt x="0" y="1546412"/>
                          </a:cubicBezTo>
                          <a:cubicBezTo>
                            <a:pt x="-36623" y="1264151"/>
                            <a:pt x="41174" y="1178388"/>
                            <a:pt x="0" y="958776"/>
                          </a:cubicBezTo>
                          <a:cubicBezTo>
                            <a:pt x="-41174" y="739164"/>
                            <a:pt x="6736" y="673264"/>
                            <a:pt x="0" y="515471"/>
                          </a:cubicBezTo>
                          <a:cubicBezTo>
                            <a:pt x="-6736" y="357678"/>
                            <a:pt x="5744" y="141085"/>
                            <a:pt x="0" y="0"/>
                          </a:cubicBezTo>
                          <a:close/>
                        </a:path>
                        <a:path w="481853" h="3608295" fill="none" extrusionOk="0">
                          <a:moveTo>
                            <a:pt x="0" y="0"/>
                          </a:moveTo>
                          <a:cubicBezTo>
                            <a:pt x="138771" y="-2264"/>
                            <a:pt x="237779" y="21295"/>
                            <a:pt x="240927" y="40153"/>
                          </a:cubicBezTo>
                          <a:cubicBezTo>
                            <a:pt x="276736" y="259420"/>
                            <a:pt x="227420" y="424180"/>
                            <a:pt x="240927" y="586011"/>
                          </a:cubicBezTo>
                          <a:cubicBezTo>
                            <a:pt x="254434" y="747842"/>
                            <a:pt x="215291" y="895665"/>
                            <a:pt x="240927" y="1177358"/>
                          </a:cubicBezTo>
                          <a:cubicBezTo>
                            <a:pt x="243340" y="1204760"/>
                            <a:pt x="324180" y="1208813"/>
                            <a:pt x="481854" y="1217511"/>
                          </a:cubicBezTo>
                          <a:cubicBezTo>
                            <a:pt x="350871" y="1215728"/>
                            <a:pt x="245947" y="1235348"/>
                            <a:pt x="240927" y="1257664"/>
                          </a:cubicBezTo>
                          <a:cubicBezTo>
                            <a:pt x="281030" y="1388607"/>
                            <a:pt x="207643" y="1651195"/>
                            <a:pt x="240927" y="1765969"/>
                          </a:cubicBezTo>
                          <a:cubicBezTo>
                            <a:pt x="274211" y="1880744"/>
                            <a:pt x="168889" y="2155879"/>
                            <a:pt x="240927" y="2366693"/>
                          </a:cubicBezTo>
                          <a:cubicBezTo>
                            <a:pt x="312965" y="2577507"/>
                            <a:pt x="231267" y="2672134"/>
                            <a:pt x="240927" y="2874999"/>
                          </a:cubicBezTo>
                          <a:cubicBezTo>
                            <a:pt x="250587" y="3077864"/>
                            <a:pt x="224884" y="3340504"/>
                            <a:pt x="240927" y="3568142"/>
                          </a:cubicBezTo>
                          <a:cubicBezTo>
                            <a:pt x="250296" y="3617729"/>
                            <a:pt x="153818" y="3604941"/>
                            <a:pt x="0" y="3608295"/>
                          </a:cubicBezTo>
                        </a:path>
                      </a:pathLst>
                    </a:custGeom>
                    <ask:type>
                      <ask:lineSketchNone/>
                    </ask:type>
                  </ask:lineSketchStyleProps>
                </a:ext>
              </a:extLst>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AU" sz="1100"/>
            </a:p>
          </xdr:txBody>
        </xdr:sp>
        <xdr:sp macro="" textlink="">
          <xdr:nvSpPr>
            <xdr:cNvPr id="109" name="Freeform: Shape 108">
              <a:extLst>
                <a:ext uri="{FF2B5EF4-FFF2-40B4-BE49-F238E27FC236}">
                  <a16:creationId xmlns:a16="http://schemas.microsoft.com/office/drawing/2014/main" id="{FB62DE73-8A44-44C6-9B73-F26F5C6351AE}"/>
                </a:ext>
              </a:extLst>
            </xdr:cNvPr>
            <xdr:cNvSpPr/>
          </xdr:nvSpPr>
          <xdr:spPr>
            <a:xfrm>
              <a:off x="5623560" y="1432192"/>
              <a:ext cx="592032" cy="893602"/>
            </a:xfrm>
            <a:custGeom>
              <a:avLst/>
              <a:gdLst>
                <a:gd name="connsiteX0" fmla="*/ 0 w 717177"/>
                <a:gd name="connsiteY0" fmla="*/ 0 h 291353"/>
                <a:gd name="connsiteX1" fmla="*/ 168089 w 717177"/>
                <a:gd name="connsiteY1" fmla="*/ 190500 h 291353"/>
                <a:gd name="connsiteX2" fmla="*/ 717177 w 717177"/>
                <a:gd name="connsiteY2" fmla="*/ 291353 h 291353"/>
              </a:gdLst>
              <a:ahLst/>
              <a:cxnLst>
                <a:cxn ang="0">
                  <a:pos x="connsiteX0" y="connsiteY0"/>
                </a:cxn>
                <a:cxn ang="0">
                  <a:pos x="connsiteX1" y="connsiteY1"/>
                </a:cxn>
                <a:cxn ang="0">
                  <a:pos x="connsiteX2" y="connsiteY2"/>
                </a:cxn>
              </a:cxnLst>
              <a:rect l="l" t="t" r="r" b="b"/>
              <a:pathLst>
                <a:path w="717177" h="291353">
                  <a:moveTo>
                    <a:pt x="0" y="0"/>
                  </a:moveTo>
                  <a:cubicBezTo>
                    <a:pt x="24280" y="70970"/>
                    <a:pt x="48560" y="141941"/>
                    <a:pt x="168089" y="190500"/>
                  </a:cubicBezTo>
                  <a:cubicBezTo>
                    <a:pt x="287619" y="239059"/>
                    <a:pt x="502398" y="265206"/>
                    <a:pt x="717177" y="291353"/>
                  </a:cubicBezTo>
                </a:path>
              </a:pathLst>
            </a:custGeom>
            <a:noFill/>
            <a:ln>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110" name="Freeform: Shape 109">
              <a:extLst>
                <a:ext uri="{FF2B5EF4-FFF2-40B4-BE49-F238E27FC236}">
                  <a16:creationId xmlns:a16="http://schemas.microsoft.com/office/drawing/2014/main" id="{D2741CFC-7A75-4D57-9DA3-CD86A4423B93}"/>
                </a:ext>
              </a:extLst>
            </xdr:cNvPr>
            <xdr:cNvSpPr/>
          </xdr:nvSpPr>
          <xdr:spPr>
            <a:xfrm flipH="1">
              <a:off x="8899524" y="1443750"/>
              <a:ext cx="201011" cy="600527"/>
            </a:xfrm>
            <a:custGeom>
              <a:avLst/>
              <a:gdLst>
                <a:gd name="connsiteX0" fmla="*/ 0 w 717177"/>
                <a:gd name="connsiteY0" fmla="*/ 0 h 291353"/>
                <a:gd name="connsiteX1" fmla="*/ 168089 w 717177"/>
                <a:gd name="connsiteY1" fmla="*/ 190500 h 291353"/>
                <a:gd name="connsiteX2" fmla="*/ 717177 w 717177"/>
                <a:gd name="connsiteY2" fmla="*/ 291353 h 291353"/>
              </a:gdLst>
              <a:ahLst/>
              <a:cxnLst>
                <a:cxn ang="0">
                  <a:pos x="connsiteX0" y="connsiteY0"/>
                </a:cxn>
                <a:cxn ang="0">
                  <a:pos x="connsiteX1" y="connsiteY1"/>
                </a:cxn>
                <a:cxn ang="0">
                  <a:pos x="connsiteX2" y="connsiteY2"/>
                </a:cxn>
              </a:cxnLst>
              <a:rect l="l" t="t" r="r" b="b"/>
              <a:pathLst>
                <a:path w="717177" h="291353">
                  <a:moveTo>
                    <a:pt x="0" y="0"/>
                  </a:moveTo>
                  <a:cubicBezTo>
                    <a:pt x="24280" y="70970"/>
                    <a:pt x="48560" y="141941"/>
                    <a:pt x="168089" y="190500"/>
                  </a:cubicBezTo>
                  <a:cubicBezTo>
                    <a:pt x="287619" y="239059"/>
                    <a:pt x="502398" y="265206"/>
                    <a:pt x="717177" y="291353"/>
                  </a:cubicBezTo>
                </a:path>
              </a:pathLst>
            </a:custGeom>
            <a:noFill/>
            <a:ln>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111" name="Right Brace 110">
              <a:extLst>
                <a:ext uri="{FF2B5EF4-FFF2-40B4-BE49-F238E27FC236}">
                  <a16:creationId xmlns:a16="http://schemas.microsoft.com/office/drawing/2014/main" id="{5047243B-1240-4031-94E9-A6B973B06B72}"/>
                </a:ext>
              </a:extLst>
            </xdr:cNvPr>
            <xdr:cNvSpPr/>
          </xdr:nvSpPr>
          <xdr:spPr>
            <a:xfrm rot="5400000">
              <a:off x="9957854" y="2134236"/>
              <a:ext cx="266704" cy="2364320"/>
            </a:xfrm>
            <a:prstGeom prst="rightBrace">
              <a:avLst>
                <a:gd name="adj1" fmla="val 22287"/>
                <a:gd name="adj2" fmla="val 50771"/>
              </a:avLst>
            </a:prstGeom>
            <a:ln w="25400">
              <a:solidFill>
                <a:schemeClr val="bg2">
                  <a:lumMod val="50000"/>
                </a:schemeClr>
              </a:solidFill>
              <a:extLst>
                <a:ext uri="{C807C97D-BFC1-408E-A445-0C87EB9F89A2}">
                  <ask:lineSketchStyleProps xmlns:ask="http://schemas.microsoft.com/office/drawing/2018/sketchyshapes" sd="3705000160">
                    <a:custGeom>
                      <a:avLst/>
                      <a:gdLst>
                        <a:gd name="connsiteX0" fmla="*/ 0 w 481853"/>
                        <a:gd name="connsiteY0" fmla="*/ 0 h 3608295"/>
                        <a:gd name="connsiteX1" fmla="*/ 240927 w 481853"/>
                        <a:gd name="connsiteY1" fmla="*/ 40153 h 3608295"/>
                        <a:gd name="connsiteX2" fmla="*/ 240927 w 481853"/>
                        <a:gd name="connsiteY2" fmla="*/ 597383 h 3608295"/>
                        <a:gd name="connsiteX3" fmla="*/ 240927 w 481853"/>
                        <a:gd name="connsiteY3" fmla="*/ 1177358 h 3608295"/>
                        <a:gd name="connsiteX4" fmla="*/ 481854 w 481853"/>
                        <a:gd name="connsiteY4" fmla="*/ 1217511 h 3608295"/>
                        <a:gd name="connsiteX5" fmla="*/ 240927 w 481853"/>
                        <a:gd name="connsiteY5" fmla="*/ 1257664 h 3608295"/>
                        <a:gd name="connsiteX6" fmla="*/ 240927 w 481853"/>
                        <a:gd name="connsiteY6" fmla="*/ 1765969 h 3608295"/>
                        <a:gd name="connsiteX7" fmla="*/ 240927 w 481853"/>
                        <a:gd name="connsiteY7" fmla="*/ 2343589 h 3608295"/>
                        <a:gd name="connsiteX8" fmla="*/ 240927 w 481853"/>
                        <a:gd name="connsiteY8" fmla="*/ 2898103 h 3608295"/>
                        <a:gd name="connsiteX9" fmla="*/ 240927 w 481853"/>
                        <a:gd name="connsiteY9" fmla="*/ 3568142 h 3608295"/>
                        <a:gd name="connsiteX10" fmla="*/ 0 w 481853"/>
                        <a:gd name="connsiteY10" fmla="*/ 3608295 h 3608295"/>
                        <a:gd name="connsiteX11" fmla="*/ 0 w 481853"/>
                        <a:gd name="connsiteY11" fmla="*/ 3020658 h 3608295"/>
                        <a:gd name="connsiteX12" fmla="*/ 0 w 481853"/>
                        <a:gd name="connsiteY12" fmla="*/ 2541271 h 3608295"/>
                        <a:gd name="connsiteX13" fmla="*/ 0 w 481853"/>
                        <a:gd name="connsiteY13" fmla="*/ 2134049 h 3608295"/>
                        <a:gd name="connsiteX14" fmla="*/ 0 w 481853"/>
                        <a:gd name="connsiteY14" fmla="*/ 1546412 h 3608295"/>
                        <a:gd name="connsiteX15" fmla="*/ 0 w 481853"/>
                        <a:gd name="connsiteY15" fmla="*/ 958776 h 3608295"/>
                        <a:gd name="connsiteX16" fmla="*/ 0 w 481853"/>
                        <a:gd name="connsiteY16" fmla="*/ 515471 h 3608295"/>
                        <a:gd name="connsiteX17" fmla="*/ 0 w 481853"/>
                        <a:gd name="connsiteY17" fmla="*/ 0 h 3608295"/>
                        <a:gd name="connsiteX0" fmla="*/ 0 w 481853"/>
                        <a:gd name="connsiteY0" fmla="*/ 0 h 3608295"/>
                        <a:gd name="connsiteX1" fmla="*/ 240927 w 481853"/>
                        <a:gd name="connsiteY1" fmla="*/ 40153 h 3608295"/>
                        <a:gd name="connsiteX2" fmla="*/ 240927 w 481853"/>
                        <a:gd name="connsiteY2" fmla="*/ 586011 h 3608295"/>
                        <a:gd name="connsiteX3" fmla="*/ 240927 w 481853"/>
                        <a:gd name="connsiteY3" fmla="*/ 1177358 h 3608295"/>
                        <a:gd name="connsiteX4" fmla="*/ 481854 w 481853"/>
                        <a:gd name="connsiteY4" fmla="*/ 1217511 h 3608295"/>
                        <a:gd name="connsiteX5" fmla="*/ 240927 w 481853"/>
                        <a:gd name="connsiteY5" fmla="*/ 1257664 h 3608295"/>
                        <a:gd name="connsiteX6" fmla="*/ 240927 w 481853"/>
                        <a:gd name="connsiteY6" fmla="*/ 1765969 h 3608295"/>
                        <a:gd name="connsiteX7" fmla="*/ 240927 w 481853"/>
                        <a:gd name="connsiteY7" fmla="*/ 2366693 h 3608295"/>
                        <a:gd name="connsiteX8" fmla="*/ 240927 w 481853"/>
                        <a:gd name="connsiteY8" fmla="*/ 2874999 h 3608295"/>
                        <a:gd name="connsiteX9" fmla="*/ 240927 w 481853"/>
                        <a:gd name="connsiteY9" fmla="*/ 3568142 h 3608295"/>
                        <a:gd name="connsiteX10" fmla="*/ 0 w 481853"/>
                        <a:gd name="connsiteY10" fmla="*/ 3608295 h 360829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481853" h="3608295" stroke="0" extrusionOk="0">
                          <a:moveTo>
                            <a:pt x="0" y="0"/>
                          </a:moveTo>
                          <a:cubicBezTo>
                            <a:pt x="131089" y="248"/>
                            <a:pt x="239457" y="18662"/>
                            <a:pt x="240927" y="40153"/>
                          </a:cubicBezTo>
                          <a:cubicBezTo>
                            <a:pt x="254854" y="171930"/>
                            <a:pt x="190243" y="351734"/>
                            <a:pt x="240927" y="597383"/>
                          </a:cubicBezTo>
                          <a:cubicBezTo>
                            <a:pt x="291611" y="843032"/>
                            <a:pt x="201308" y="1029605"/>
                            <a:pt x="240927" y="1177358"/>
                          </a:cubicBezTo>
                          <a:cubicBezTo>
                            <a:pt x="238459" y="1191425"/>
                            <a:pt x="367072" y="1234522"/>
                            <a:pt x="481854" y="1217511"/>
                          </a:cubicBezTo>
                          <a:cubicBezTo>
                            <a:pt x="346044" y="1216053"/>
                            <a:pt x="240849" y="1234343"/>
                            <a:pt x="240927" y="1257664"/>
                          </a:cubicBezTo>
                          <a:cubicBezTo>
                            <a:pt x="295085" y="1423339"/>
                            <a:pt x="209245" y="1600641"/>
                            <a:pt x="240927" y="1765969"/>
                          </a:cubicBezTo>
                          <a:cubicBezTo>
                            <a:pt x="272609" y="1931297"/>
                            <a:pt x="208957" y="2067742"/>
                            <a:pt x="240927" y="2343589"/>
                          </a:cubicBezTo>
                          <a:cubicBezTo>
                            <a:pt x="272897" y="2619436"/>
                            <a:pt x="184052" y="2751313"/>
                            <a:pt x="240927" y="2898103"/>
                          </a:cubicBezTo>
                          <a:cubicBezTo>
                            <a:pt x="297802" y="3044893"/>
                            <a:pt x="181557" y="3385199"/>
                            <a:pt x="240927" y="3568142"/>
                          </a:cubicBezTo>
                          <a:cubicBezTo>
                            <a:pt x="267697" y="3598815"/>
                            <a:pt x="121091" y="3588264"/>
                            <a:pt x="0" y="3608295"/>
                          </a:cubicBezTo>
                          <a:cubicBezTo>
                            <a:pt x="-66658" y="3370436"/>
                            <a:pt x="60667" y="3223090"/>
                            <a:pt x="0" y="3020658"/>
                          </a:cubicBezTo>
                          <a:cubicBezTo>
                            <a:pt x="-60667" y="2818226"/>
                            <a:pt x="36565" y="2665929"/>
                            <a:pt x="0" y="2541271"/>
                          </a:cubicBezTo>
                          <a:cubicBezTo>
                            <a:pt x="-36565" y="2416613"/>
                            <a:pt x="31079" y="2314505"/>
                            <a:pt x="0" y="2134049"/>
                          </a:cubicBezTo>
                          <a:cubicBezTo>
                            <a:pt x="-31079" y="1953593"/>
                            <a:pt x="36623" y="1828673"/>
                            <a:pt x="0" y="1546412"/>
                          </a:cubicBezTo>
                          <a:cubicBezTo>
                            <a:pt x="-36623" y="1264151"/>
                            <a:pt x="41174" y="1178388"/>
                            <a:pt x="0" y="958776"/>
                          </a:cubicBezTo>
                          <a:cubicBezTo>
                            <a:pt x="-41174" y="739164"/>
                            <a:pt x="6736" y="673264"/>
                            <a:pt x="0" y="515471"/>
                          </a:cubicBezTo>
                          <a:cubicBezTo>
                            <a:pt x="-6736" y="357678"/>
                            <a:pt x="5744" y="141085"/>
                            <a:pt x="0" y="0"/>
                          </a:cubicBezTo>
                          <a:close/>
                        </a:path>
                        <a:path w="481853" h="3608295" fill="none" extrusionOk="0">
                          <a:moveTo>
                            <a:pt x="0" y="0"/>
                          </a:moveTo>
                          <a:cubicBezTo>
                            <a:pt x="138771" y="-2264"/>
                            <a:pt x="237779" y="21295"/>
                            <a:pt x="240927" y="40153"/>
                          </a:cubicBezTo>
                          <a:cubicBezTo>
                            <a:pt x="276736" y="259420"/>
                            <a:pt x="227420" y="424180"/>
                            <a:pt x="240927" y="586011"/>
                          </a:cubicBezTo>
                          <a:cubicBezTo>
                            <a:pt x="254434" y="747842"/>
                            <a:pt x="215291" y="895665"/>
                            <a:pt x="240927" y="1177358"/>
                          </a:cubicBezTo>
                          <a:cubicBezTo>
                            <a:pt x="243340" y="1204760"/>
                            <a:pt x="324180" y="1208813"/>
                            <a:pt x="481854" y="1217511"/>
                          </a:cubicBezTo>
                          <a:cubicBezTo>
                            <a:pt x="350871" y="1215728"/>
                            <a:pt x="245947" y="1235348"/>
                            <a:pt x="240927" y="1257664"/>
                          </a:cubicBezTo>
                          <a:cubicBezTo>
                            <a:pt x="281030" y="1388607"/>
                            <a:pt x="207643" y="1651195"/>
                            <a:pt x="240927" y="1765969"/>
                          </a:cubicBezTo>
                          <a:cubicBezTo>
                            <a:pt x="274211" y="1880744"/>
                            <a:pt x="168889" y="2155879"/>
                            <a:pt x="240927" y="2366693"/>
                          </a:cubicBezTo>
                          <a:cubicBezTo>
                            <a:pt x="312965" y="2577507"/>
                            <a:pt x="231267" y="2672134"/>
                            <a:pt x="240927" y="2874999"/>
                          </a:cubicBezTo>
                          <a:cubicBezTo>
                            <a:pt x="250587" y="3077864"/>
                            <a:pt x="224884" y="3340504"/>
                            <a:pt x="240927" y="3568142"/>
                          </a:cubicBezTo>
                          <a:cubicBezTo>
                            <a:pt x="250296" y="3617729"/>
                            <a:pt x="153818" y="3604941"/>
                            <a:pt x="0" y="3608295"/>
                          </a:cubicBezTo>
                        </a:path>
                      </a:pathLst>
                    </a:custGeom>
                    <ask:type>
                      <ask:lineSketchNone/>
                    </ask:type>
                  </ask:lineSketchStyleProps>
                </a:ext>
              </a:extLst>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AU" sz="1100"/>
            </a:p>
          </xdr:txBody>
        </xdr:sp>
        <xdr:sp macro="" textlink="">
          <xdr:nvSpPr>
            <xdr:cNvPr id="112" name="Freeform: Shape 111">
              <a:extLst>
                <a:ext uri="{FF2B5EF4-FFF2-40B4-BE49-F238E27FC236}">
                  <a16:creationId xmlns:a16="http://schemas.microsoft.com/office/drawing/2014/main" id="{1A330581-96AD-4536-9FC0-CABF634CA932}"/>
                </a:ext>
              </a:extLst>
            </xdr:cNvPr>
            <xdr:cNvSpPr/>
          </xdr:nvSpPr>
          <xdr:spPr>
            <a:xfrm>
              <a:off x="10532532" y="1432195"/>
              <a:ext cx="445559" cy="677361"/>
            </a:xfrm>
            <a:custGeom>
              <a:avLst/>
              <a:gdLst>
                <a:gd name="connsiteX0" fmla="*/ 0 w 717177"/>
                <a:gd name="connsiteY0" fmla="*/ 0 h 291353"/>
                <a:gd name="connsiteX1" fmla="*/ 168089 w 717177"/>
                <a:gd name="connsiteY1" fmla="*/ 190500 h 291353"/>
                <a:gd name="connsiteX2" fmla="*/ 717177 w 717177"/>
                <a:gd name="connsiteY2" fmla="*/ 291353 h 291353"/>
              </a:gdLst>
              <a:ahLst/>
              <a:cxnLst>
                <a:cxn ang="0">
                  <a:pos x="connsiteX0" y="connsiteY0"/>
                </a:cxn>
                <a:cxn ang="0">
                  <a:pos x="connsiteX1" y="connsiteY1"/>
                </a:cxn>
                <a:cxn ang="0">
                  <a:pos x="connsiteX2" y="connsiteY2"/>
                </a:cxn>
              </a:cxnLst>
              <a:rect l="l" t="t" r="r" b="b"/>
              <a:pathLst>
                <a:path w="717177" h="291353">
                  <a:moveTo>
                    <a:pt x="0" y="0"/>
                  </a:moveTo>
                  <a:cubicBezTo>
                    <a:pt x="24280" y="70970"/>
                    <a:pt x="48560" y="141941"/>
                    <a:pt x="168089" y="190500"/>
                  </a:cubicBezTo>
                  <a:cubicBezTo>
                    <a:pt x="287619" y="239059"/>
                    <a:pt x="502398" y="265206"/>
                    <a:pt x="717177" y="291353"/>
                  </a:cubicBezTo>
                </a:path>
              </a:pathLst>
            </a:custGeom>
            <a:noFill/>
            <a:ln>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113" name="Freeform: Shape 112">
              <a:extLst>
                <a:ext uri="{FF2B5EF4-FFF2-40B4-BE49-F238E27FC236}">
                  <a16:creationId xmlns:a16="http://schemas.microsoft.com/office/drawing/2014/main" id="{50427C69-99D3-4BE8-9A84-6B6C2DB2A8D6}"/>
                </a:ext>
              </a:extLst>
            </xdr:cNvPr>
            <xdr:cNvSpPr/>
          </xdr:nvSpPr>
          <xdr:spPr>
            <a:xfrm rot="5400000">
              <a:off x="9200603" y="3939363"/>
              <a:ext cx="524843" cy="205740"/>
            </a:xfrm>
            <a:custGeom>
              <a:avLst/>
              <a:gdLst>
                <a:gd name="connsiteX0" fmla="*/ 0 w 717177"/>
                <a:gd name="connsiteY0" fmla="*/ 0 h 291353"/>
                <a:gd name="connsiteX1" fmla="*/ 168089 w 717177"/>
                <a:gd name="connsiteY1" fmla="*/ 190500 h 291353"/>
                <a:gd name="connsiteX2" fmla="*/ 717177 w 717177"/>
                <a:gd name="connsiteY2" fmla="*/ 291353 h 291353"/>
              </a:gdLst>
              <a:ahLst/>
              <a:cxnLst>
                <a:cxn ang="0">
                  <a:pos x="connsiteX0" y="connsiteY0"/>
                </a:cxn>
                <a:cxn ang="0">
                  <a:pos x="connsiteX1" y="connsiteY1"/>
                </a:cxn>
                <a:cxn ang="0">
                  <a:pos x="connsiteX2" y="connsiteY2"/>
                </a:cxn>
              </a:cxnLst>
              <a:rect l="l" t="t" r="r" b="b"/>
              <a:pathLst>
                <a:path w="717177" h="291353">
                  <a:moveTo>
                    <a:pt x="0" y="0"/>
                  </a:moveTo>
                  <a:cubicBezTo>
                    <a:pt x="24280" y="70970"/>
                    <a:pt x="48560" y="141941"/>
                    <a:pt x="168089" y="190500"/>
                  </a:cubicBezTo>
                  <a:cubicBezTo>
                    <a:pt x="287619" y="239059"/>
                    <a:pt x="502398" y="265206"/>
                    <a:pt x="717177" y="291353"/>
                  </a:cubicBezTo>
                </a:path>
              </a:pathLst>
            </a:custGeom>
            <a:noFill/>
            <a:ln>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114" name="Freeform: Shape 113">
              <a:extLst>
                <a:ext uri="{FF2B5EF4-FFF2-40B4-BE49-F238E27FC236}">
                  <a16:creationId xmlns:a16="http://schemas.microsoft.com/office/drawing/2014/main" id="{BC4D2F07-4FB1-4F06-A120-31DF80B78EEA}"/>
                </a:ext>
              </a:extLst>
            </xdr:cNvPr>
            <xdr:cNvSpPr/>
          </xdr:nvSpPr>
          <xdr:spPr>
            <a:xfrm rot="16200000" flipH="1">
              <a:off x="8219957" y="3921502"/>
              <a:ext cx="537630" cy="349689"/>
            </a:xfrm>
            <a:custGeom>
              <a:avLst/>
              <a:gdLst>
                <a:gd name="connsiteX0" fmla="*/ 0 w 717177"/>
                <a:gd name="connsiteY0" fmla="*/ 0 h 291353"/>
                <a:gd name="connsiteX1" fmla="*/ 168089 w 717177"/>
                <a:gd name="connsiteY1" fmla="*/ 190500 h 291353"/>
                <a:gd name="connsiteX2" fmla="*/ 717177 w 717177"/>
                <a:gd name="connsiteY2" fmla="*/ 291353 h 291353"/>
              </a:gdLst>
              <a:ahLst/>
              <a:cxnLst>
                <a:cxn ang="0">
                  <a:pos x="connsiteX0" y="connsiteY0"/>
                </a:cxn>
                <a:cxn ang="0">
                  <a:pos x="connsiteX1" y="connsiteY1"/>
                </a:cxn>
                <a:cxn ang="0">
                  <a:pos x="connsiteX2" y="connsiteY2"/>
                </a:cxn>
              </a:cxnLst>
              <a:rect l="l" t="t" r="r" b="b"/>
              <a:pathLst>
                <a:path w="717177" h="291353">
                  <a:moveTo>
                    <a:pt x="0" y="0"/>
                  </a:moveTo>
                  <a:cubicBezTo>
                    <a:pt x="24280" y="70970"/>
                    <a:pt x="48560" y="141941"/>
                    <a:pt x="168089" y="190500"/>
                  </a:cubicBezTo>
                  <a:cubicBezTo>
                    <a:pt x="287619" y="239059"/>
                    <a:pt x="502398" y="265206"/>
                    <a:pt x="717177" y="291353"/>
                  </a:cubicBezTo>
                </a:path>
              </a:pathLst>
            </a:custGeom>
            <a:noFill/>
            <a:ln>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116" name="Freeform: Shape 115">
              <a:extLst>
                <a:ext uri="{FF2B5EF4-FFF2-40B4-BE49-F238E27FC236}">
                  <a16:creationId xmlns:a16="http://schemas.microsoft.com/office/drawing/2014/main" id="{BE58847C-3FBC-45F1-B91C-92E9C0FD5AC0}"/>
                </a:ext>
              </a:extLst>
            </xdr:cNvPr>
            <xdr:cNvSpPr/>
          </xdr:nvSpPr>
          <xdr:spPr>
            <a:xfrm rot="7855516">
              <a:off x="11805408" y="715365"/>
              <a:ext cx="216371" cy="491302"/>
            </a:xfrm>
            <a:custGeom>
              <a:avLst/>
              <a:gdLst>
                <a:gd name="connsiteX0" fmla="*/ 0 w 717177"/>
                <a:gd name="connsiteY0" fmla="*/ 0 h 291353"/>
                <a:gd name="connsiteX1" fmla="*/ 168089 w 717177"/>
                <a:gd name="connsiteY1" fmla="*/ 190500 h 291353"/>
                <a:gd name="connsiteX2" fmla="*/ 717177 w 717177"/>
                <a:gd name="connsiteY2" fmla="*/ 291353 h 291353"/>
              </a:gdLst>
              <a:ahLst/>
              <a:cxnLst>
                <a:cxn ang="0">
                  <a:pos x="connsiteX0" y="connsiteY0"/>
                </a:cxn>
                <a:cxn ang="0">
                  <a:pos x="connsiteX1" y="connsiteY1"/>
                </a:cxn>
                <a:cxn ang="0">
                  <a:pos x="connsiteX2" y="connsiteY2"/>
                </a:cxn>
              </a:cxnLst>
              <a:rect l="l" t="t" r="r" b="b"/>
              <a:pathLst>
                <a:path w="717177" h="291353">
                  <a:moveTo>
                    <a:pt x="0" y="0"/>
                  </a:moveTo>
                  <a:cubicBezTo>
                    <a:pt x="24280" y="70970"/>
                    <a:pt x="48560" y="141941"/>
                    <a:pt x="168089" y="190500"/>
                  </a:cubicBezTo>
                  <a:cubicBezTo>
                    <a:pt x="287619" y="239059"/>
                    <a:pt x="502398" y="265206"/>
                    <a:pt x="717177" y="291353"/>
                  </a:cubicBezTo>
                </a:path>
              </a:pathLst>
            </a:custGeom>
            <a:noFill/>
            <a:ln>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grpSp>
    <xdr:clientData/>
  </xdr:twoCellAnchor>
  <xdr:twoCellAnchor>
    <xdr:from>
      <xdr:col>5</xdr:col>
      <xdr:colOff>0</xdr:colOff>
      <xdr:row>28</xdr:row>
      <xdr:rowOff>0</xdr:rowOff>
    </xdr:from>
    <xdr:to>
      <xdr:col>13</xdr:col>
      <xdr:colOff>0</xdr:colOff>
      <xdr:row>44</xdr:row>
      <xdr:rowOff>0</xdr:rowOff>
    </xdr:to>
    <xdr:graphicFrame macro="">
      <xdr:nvGraphicFramePr>
        <xdr:cNvPr id="121" name="Chart 120">
          <a:extLst>
            <a:ext uri="{FF2B5EF4-FFF2-40B4-BE49-F238E27FC236}">
              <a16:creationId xmlns:a16="http://schemas.microsoft.com/office/drawing/2014/main" id="{5D874C09-192D-4522-AE48-4D3B912578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wsDr>
</file>

<file path=xl/drawings/drawing5.xml><?xml version="1.0" encoding="utf-8"?>
<xdr:wsDr xmlns:xdr="http://schemas.openxmlformats.org/drawingml/2006/spreadsheetDrawing" xmlns:a="http://schemas.openxmlformats.org/drawingml/2006/main">
  <xdr:oneCellAnchor>
    <xdr:from>
      <xdr:col>1</xdr:col>
      <xdr:colOff>9525</xdr:colOff>
      <xdr:row>2</xdr:row>
      <xdr:rowOff>76199</xdr:rowOff>
    </xdr:from>
    <xdr:ext cx="2343150" cy="5438775"/>
    <xdr:sp macro="" textlink="">
      <xdr:nvSpPr>
        <xdr:cNvPr id="8" name="TextBox 7">
          <a:extLst>
            <a:ext uri="{FF2B5EF4-FFF2-40B4-BE49-F238E27FC236}">
              <a16:creationId xmlns:a16="http://schemas.microsoft.com/office/drawing/2014/main" id="{A30C9E2D-5667-4C0C-A666-FEDA83CA192E}"/>
            </a:ext>
          </a:extLst>
        </xdr:cNvPr>
        <xdr:cNvSpPr txBox="1"/>
      </xdr:nvSpPr>
      <xdr:spPr>
        <a:xfrm>
          <a:off x="161925" y="352424"/>
          <a:ext cx="2343150" cy="5438775"/>
        </a:xfrm>
        <a:prstGeom prst="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wrap="none" rtlCol="0" anchor="t">
          <a:noAutofit/>
        </a:bodyPr>
        <a:lstStyle/>
        <a:p>
          <a:r>
            <a:rPr lang="en-AU" sz="1100" b="1">
              <a:solidFill>
                <a:schemeClr val="tx2">
                  <a:lumMod val="50000"/>
                </a:schemeClr>
              </a:solidFill>
            </a:rPr>
            <a:t>Data input</a:t>
          </a:r>
        </a:p>
      </xdr:txBody>
    </xdr:sp>
    <xdr:clientData/>
  </xdr:oneCellAnchor>
  <xdr:twoCellAnchor editAs="oneCell">
    <xdr:from>
      <xdr:col>5</xdr:col>
      <xdr:colOff>419100</xdr:colOff>
      <xdr:row>3</xdr:row>
      <xdr:rowOff>180975</xdr:rowOff>
    </xdr:from>
    <xdr:to>
      <xdr:col>17</xdr:col>
      <xdr:colOff>569443</xdr:colOff>
      <xdr:row>31</xdr:row>
      <xdr:rowOff>18194</xdr:rowOff>
    </xdr:to>
    <xdr:pic>
      <xdr:nvPicPr>
        <xdr:cNvPr id="2" name="Picture 1">
          <a:extLst>
            <a:ext uri="{FF2B5EF4-FFF2-40B4-BE49-F238E27FC236}">
              <a16:creationId xmlns:a16="http://schemas.microsoft.com/office/drawing/2014/main" id="{887D3C8E-00A9-4776-8966-A6AC48BB1F63}"/>
            </a:ext>
          </a:extLst>
        </xdr:cNvPr>
        <xdr:cNvPicPr>
          <a:picLocks noChangeAspect="1"/>
        </xdr:cNvPicPr>
      </xdr:nvPicPr>
      <xdr:blipFill>
        <a:blip xmlns:r="http://schemas.openxmlformats.org/officeDocument/2006/relationships" r:embed="rId1"/>
        <a:stretch>
          <a:fillRect/>
        </a:stretch>
      </xdr:blipFill>
      <xdr:spPr>
        <a:xfrm>
          <a:off x="2857500" y="561975"/>
          <a:ext cx="7465543" cy="5171219"/>
        </a:xfrm>
        <a:prstGeom prst="rect">
          <a:avLst/>
        </a:prstGeom>
      </xdr:spPr>
    </xdr:pic>
    <xdr:clientData/>
  </xdr:twoCellAnchor>
  <xdr:oneCellAnchor>
    <xdr:from>
      <xdr:col>1</xdr:col>
      <xdr:colOff>95249</xdr:colOff>
      <xdr:row>4</xdr:row>
      <xdr:rowOff>0</xdr:rowOff>
    </xdr:from>
    <xdr:ext cx="2190751" cy="436786"/>
    <xdr:sp macro="" textlink="">
      <xdr:nvSpPr>
        <xdr:cNvPr id="12" name="TextBox 11">
          <a:extLst>
            <a:ext uri="{FF2B5EF4-FFF2-40B4-BE49-F238E27FC236}">
              <a16:creationId xmlns:a16="http://schemas.microsoft.com/office/drawing/2014/main" id="{6871E732-5278-4E4B-8B1B-3DD02D3EB832}"/>
            </a:ext>
          </a:extLst>
        </xdr:cNvPr>
        <xdr:cNvSpPr txBox="1"/>
      </xdr:nvSpPr>
      <xdr:spPr>
        <a:xfrm>
          <a:off x="95249" y="571500"/>
          <a:ext cx="2190751" cy="436786"/>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r>
            <a:rPr lang="en-AU" sz="1100">
              <a:solidFill>
                <a:schemeClr val="bg1">
                  <a:lumMod val="95000"/>
                </a:schemeClr>
              </a:solidFill>
              <a:effectLst/>
              <a:latin typeface="+mn-lt"/>
              <a:ea typeface="+mn-ea"/>
              <a:cs typeface="+mn-cs"/>
            </a:rPr>
            <a:t>1. Select your source </a:t>
          </a:r>
        </a:p>
        <a:p>
          <a:r>
            <a:rPr lang="en-AU" sz="1100">
              <a:solidFill>
                <a:schemeClr val="bg1">
                  <a:lumMod val="95000"/>
                </a:schemeClr>
              </a:solidFill>
              <a:effectLst/>
              <a:latin typeface="+mn-lt"/>
              <a:ea typeface="+mn-ea"/>
              <a:cs typeface="+mn-cs"/>
            </a:rPr>
            <a:t>(Electricty or diesel) </a:t>
          </a:r>
          <a:endParaRPr lang="en-AU">
            <a:solidFill>
              <a:schemeClr val="bg1">
                <a:lumMod val="95000"/>
              </a:schemeClr>
            </a:solidFill>
            <a:effectLst/>
          </a:endParaRPr>
        </a:p>
      </xdr:txBody>
    </xdr:sp>
    <xdr:clientData/>
  </xdr:oneCellAnchor>
  <xdr:oneCellAnchor>
    <xdr:from>
      <xdr:col>1</xdr:col>
      <xdr:colOff>85725</xdr:colOff>
      <xdr:row>6</xdr:row>
      <xdr:rowOff>114300</xdr:rowOff>
    </xdr:from>
    <xdr:ext cx="2190749" cy="609600"/>
    <xdr:sp macro="" textlink="">
      <xdr:nvSpPr>
        <xdr:cNvPr id="14" name="TextBox 13">
          <a:extLst>
            <a:ext uri="{FF2B5EF4-FFF2-40B4-BE49-F238E27FC236}">
              <a16:creationId xmlns:a16="http://schemas.microsoft.com/office/drawing/2014/main" id="{691E11B5-0977-44E1-8835-3C700B460F46}"/>
            </a:ext>
          </a:extLst>
        </xdr:cNvPr>
        <xdr:cNvSpPr txBox="1"/>
      </xdr:nvSpPr>
      <xdr:spPr>
        <a:xfrm>
          <a:off x="85725" y="1066800"/>
          <a:ext cx="2190749" cy="6096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r>
            <a:rPr lang="en-AU" sz="1100">
              <a:solidFill>
                <a:schemeClr val="lt1"/>
              </a:solidFill>
              <a:effectLst/>
              <a:latin typeface="+mn-lt"/>
              <a:ea typeface="+mn-ea"/>
              <a:cs typeface="+mn-cs"/>
            </a:rPr>
            <a:t>2. Select how</a:t>
          </a:r>
          <a:r>
            <a:rPr lang="en-AU" sz="1100" baseline="0">
              <a:solidFill>
                <a:schemeClr val="lt1"/>
              </a:solidFill>
              <a:effectLst/>
              <a:latin typeface="+mn-lt"/>
              <a:ea typeface="+mn-ea"/>
              <a:cs typeface="+mn-cs"/>
            </a:rPr>
            <a:t> you will get your energy and water use data </a:t>
          </a:r>
          <a:endParaRPr lang="en-AU">
            <a:effectLst/>
          </a:endParaRPr>
        </a:p>
        <a:p>
          <a:r>
            <a:rPr lang="en-AU" sz="1100">
              <a:solidFill>
                <a:schemeClr val="lt1"/>
              </a:solidFill>
              <a:effectLst/>
              <a:latin typeface="+mn-lt"/>
              <a:ea typeface="+mn-ea"/>
              <a:cs typeface="+mn-cs"/>
            </a:rPr>
            <a:t>(From</a:t>
          </a:r>
          <a:r>
            <a:rPr lang="en-AU" sz="1100" baseline="0">
              <a:solidFill>
                <a:schemeClr val="lt1"/>
              </a:solidFill>
              <a:effectLst/>
              <a:latin typeface="+mn-lt"/>
              <a:ea typeface="+mn-ea"/>
              <a:cs typeface="+mn-cs"/>
            </a:rPr>
            <a:t> bills or estimation</a:t>
          </a:r>
          <a:r>
            <a:rPr lang="en-AU" sz="1100">
              <a:solidFill>
                <a:schemeClr val="lt1"/>
              </a:solidFill>
              <a:effectLst/>
              <a:latin typeface="+mn-lt"/>
              <a:ea typeface="+mn-ea"/>
              <a:cs typeface="+mn-cs"/>
            </a:rPr>
            <a:t>) </a:t>
          </a:r>
          <a:endParaRPr lang="en-AU">
            <a:solidFill>
              <a:schemeClr val="bg1">
                <a:lumMod val="95000"/>
              </a:schemeClr>
            </a:solidFill>
            <a:effectLst/>
          </a:endParaRPr>
        </a:p>
      </xdr:txBody>
    </xdr:sp>
    <xdr:clientData/>
  </xdr:oneCellAnchor>
  <xdr:oneCellAnchor>
    <xdr:from>
      <xdr:col>1</xdr:col>
      <xdr:colOff>66675</xdr:colOff>
      <xdr:row>10</xdr:row>
      <xdr:rowOff>9525</xdr:rowOff>
    </xdr:from>
    <xdr:ext cx="2209800" cy="609013"/>
    <xdr:sp macro="" textlink="">
      <xdr:nvSpPr>
        <xdr:cNvPr id="15" name="TextBox 14">
          <a:extLst>
            <a:ext uri="{FF2B5EF4-FFF2-40B4-BE49-F238E27FC236}">
              <a16:creationId xmlns:a16="http://schemas.microsoft.com/office/drawing/2014/main" id="{DB05C551-383B-41BC-9775-0DF64D1E0981}"/>
            </a:ext>
          </a:extLst>
        </xdr:cNvPr>
        <xdr:cNvSpPr txBox="1"/>
      </xdr:nvSpPr>
      <xdr:spPr>
        <a:xfrm>
          <a:off x="66675" y="1724025"/>
          <a:ext cx="2209800" cy="60901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r>
            <a:rPr lang="en-AU" sz="1100">
              <a:solidFill>
                <a:schemeClr val="lt1"/>
              </a:solidFill>
              <a:effectLst/>
              <a:latin typeface="+mn-lt"/>
              <a:ea typeface="+mn-ea"/>
              <a:cs typeface="+mn-cs"/>
            </a:rPr>
            <a:t>3. Select the time</a:t>
          </a:r>
          <a:r>
            <a:rPr lang="en-AU" sz="1100" baseline="0">
              <a:solidFill>
                <a:schemeClr val="lt1"/>
              </a:solidFill>
              <a:effectLst/>
              <a:latin typeface="+mn-lt"/>
              <a:ea typeface="+mn-ea"/>
              <a:cs typeface="+mn-cs"/>
            </a:rPr>
            <a:t> interval is your energy and water use data</a:t>
          </a:r>
          <a:endParaRPr lang="en-AU">
            <a:effectLst/>
          </a:endParaRPr>
        </a:p>
        <a:p>
          <a:r>
            <a:rPr lang="en-AU" sz="1100">
              <a:solidFill>
                <a:schemeClr val="lt1"/>
              </a:solidFill>
              <a:effectLst/>
              <a:latin typeface="+mn-lt"/>
              <a:ea typeface="+mn-ea"/>
              <a:cs typeface="+mn-cs"/>
            </a:rPr>
            <a:t>(Annually, Quarterly, Monthly) </a:t>
          </a:r>
          <a:endParaRPr lang="en-AU">
            <a:solidFill>
              <a:schemeClr val="bg1">
                <a:lumMod val="95000"/>
              </a:schemeClr>
            </a:solidFill>
            <a:effectLst/>
          </a:endParaRPr>
        </a:p>
      </xdr:txBody>
    </xdr:sp>
    <xdr:clientData/>
  </xdr:oneCellAnchor>
  <xdr:oneCellAnchor>
    <xdr:from>
      <xdr:col>1</xdr:col>
      <xdr:colOff>66675</xdr:colOff>
      <xdr:row>13</xdr:row>
      <xdr:rowOff>104775</xdr:rowOff>
    </xdr:from>
    <xdr:ext cx="2209800" cy="264560"/>
    <xdr:sp macro="" textlink="">
      <xdr:nvSpPr>
        <xdr:cNvPr id="16" name="TextBox 15">
          <a:extLst>
            <a:ext uri="{FF2B5EF4-FFF2-40B4-BE49-F238E27FC236}">
              <a16:creationId xmlns:a16="http://schemas.microsoft.com/office/drawing/2014/main" id="{44C0D505-C549-4329-AF04-694A15C08FFA}"/>
            </a:ext>
          </a:extLst>
        </xdr:cNvPr>
        <xdr:cNvSpPr txBox="1"/>
      </xdr:nvSpPr>
      <xdr:spPr>
        <a:xfrm>
          <a:off x="66675" y="2390775"/>
          <a:ext cx="2209800" cy="2645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r>
            <a:rPr lang="en-AU" sz="1100">
              <a:solidFill>
                <a:schemeClr val="lt1"/>
              </a:solidFill>
              <a:effectLst/>
              <a:latin typeface="+mn-lt"/>
              <a:ea typeface="+mn-ea"/>
              <a:cs typeface="+mn-cs"/>
            </a:rPr>
            <a:t>4. Enter</a:t>
          </a:r>
          <a:r>
            <a:rPr lang="en-AU" sz="1100" baseline="0">
              <a:solidFill>
                <a:schemeClr val="lt1"/>
              </a:solidFill>
              <a:effectLst/>
              <a:latin typeface="+mn-lt"/>
              <a:ea typeface="+mn-ea"/>
              <a:cs typeface="+mn-cs"/>
            </a:rPr>
            <a:t> energy cost and usage</a:t>
          </a:r>
          <a:endParaRPr lang="en-AU">
            <a:solidFill>
              <a:schemeClr val="bg1">
                <a:lumMod val="95000"/>
              </a:schemeClr>
            </a:solidFill>
            <a:effectLst/>
          </a:endParaRPr>
        </a:p>
      </xdr:txBody>
    </xdr:sp>
    <xdr:clientData/>
  </xdr:oneCellAnchor>
  <xdr:twoCellAnchor>
    <xdr:from>
      <xdr:col>4</xdr:col>
      <xdr:colOff>457200</xdr:colOff>
      <xdr:row>4</xdr:row>
      <xdr:rowOff>114300</xdr:rowOff>
    </xdr:from>
    <xdr:to>
      <xdr:col>8</xdr:col>
      <xdr:colOff>85725</xdr:colOff>
      <xdr:row>5</xdr:row>
      <xdr:rowOff>27893</xdr:rowOff>
    </xdr:to>
    <xdr:cxnSp macro="">
      <xdr:nvCxnSpPr>
        <xdr:cNvPr id="18" name="Straight Arrow Connector 17">
          <a:extLst>
            <a:ext uri="{FF2B5EF4-FFF2-40B4-BE49-F238E27FC236}">
              <a16:creationId xmlns:a16="http://schemas.microsoft.com/office/drawing/2014/main" id="{44E7786D-1D15-47D1-9DD6-D558914D7410}"/>
            </a:ext>
          </a:extLst>
        </xdr:cNvPr>
        <xdr:cNvCxnSpPr>
          <a:stCxn id="12" idx="3"/>
        </xdr:cNvCxnSpPr>
      </xdr:nvCxnSpPr>
      <xdr:spPr>
        <a:xfrm flipV="1">
          <a:off x="2286000" y="685800"/>
          <a:ext cx="2066925" cy="10409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447674</xdr:colOff>
      <xdr:row>6</xdr:row>
      <xdr:rowOff>28575</xdr:rowOff>
    </xdr:from>
    <xdr:to>
      <xdr:col>8</xdr:col>
      <xdr:colOff>76200</xdr:colOff>
      <xdr:row>8</xdr:row>
      <xdr:rowOff>38100</xdr:rowOff>
    </xdr:to>
    <xdr:cxnSp macro="">
      <xdr:nvCxnSpPr>
        <xdr:cNvPr id="20" name="Straight Arrow Connector 19">
          <a:extLst>
            <a:ext uri="{FF2B5EF4-FFF2-40B4-BE49-F238E27FC236}">
              <a16:creationId xmlns:a16="http://schemas.microsoft.com/office/drawing/2014/main" id="{D0A66C38-CCB7-4A60-BB94-B783890690D6}"/>
            </a:ext>
          </a:extLst>
        </xdr:cNvPr>
        <xdr:cNvCxnSpPr>
          <a:stCxn id="14" idx="3"/>
        </xdr:cNvCxnSpPr>
      </xdr:nvCxnSpPr>
      <xdr:spPr>
        <a:xfrm flipV="1">
          <a:off x="2276474" y="981075"/>
          <a:ext cx="2066926" cy="3905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447674</xdr:colOff>
      <xdr:row>6</xdr:row>
      <xdr:rowOff>66675</xdr:rowOff>
    </xdr:from>
    <xdr:to>
      <xdr:col>11</xdr:col>
      <xdr:colOff>314325</xdr:colOff>
      <xdr:row>8</xdr:row>
      <xdr:rowOff>38100</xdr:rowOff>
    </xdr:to>
    <xdr:cxnSp macro="">
      <xdr:nvCxnSpPr>
        <xdr:cNvPr id="23" name="Straight Arrow Connector 22">
          <a:extLst>
            <a:ext uri="{FF2B5EF4-FFF2-40B4-BE49-F238E27FC236}">
              <a16:creationId xmlns:a16="http://schemas.microsoft.com/office/drawing/2014/main" id="{E8EAFDCE-61C2-4A71-9A91-7018917ECDF9}"/>
            </a:ext>
          </a:extLst>
        </xdr:cNvPr>
        <xdr:cNvCxnSpPr>
          <a:stCxn id="14" idx="3"/>
        </xdr:cNvCxnSpPr>
      </xdr:nvCxnSpPr>
      <xdr:spPr>
        <a:xfrm flipV="1">
          <a:off x="2276474" y="1019175"/>
          <a:ext cx="4133851" cy="3524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447675</xdr:colOff>
      <xdr:row>8</xdr:row>
      <xdr:rowOff>76200</xdr:rowOff>
    </xdr:from>
    <xdr:to>
      <xdr:col>8</xdr:col>
      <xdr:colOff>76200</xdr:colOff>
      <xdr:row>11</xdr:row>
      <xdr:rowOff>123532</xdr:rowOff>
    </xdr:to>
    <xdr:cxnSp macro="">
      <xdr:nvCxnSpPr>
        <xdr:cNvPr id="29" name="Straight Arrow Connector 28">
          <a:extLst>
            <a:ext uri="{FF2B5EF4-FFF2-40B4-BE49-F238E27FC236}">
              <a16:creationId xmlns:a16="http://schemas.microsoft.com/office/drawing/2014/main" id="{73888A02-6D65-4566-BDEC-317DDDFFAE67}"/>
            </a:ext>
          </a:extLst>
        </xdr:cNvPr>
        <xdr:cNvCxnSpPr>
          <a:stCxn id="15" idx="3"/>
        </xdr:cNvCxnSpPr>
      </xdr:nvCxnSpPr>
      <xdr:spPr>
        <a:xfrm flipV="1">
          <a:off x="2276475" y="1409700"/>
          <a:ext cx="2066925" cy="61883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447675</xdr:colOff>
      <xdr:row>8</xdr:row>
      <xdr:rowOff>28575</xdr:rowOff>
    </xdr:from>
    <xdr:to>
      <xdr:col>11</xdr:col>
      <xdr:colOff>314325</xdr:colOff>
      <xdr:row>11</xdr:row>
      <xdr:rowOff>123532</xdr:rowOff>
    </xdr:to>
    <xdr:cxnSp macro="">
      <xdr:nvCxnSpPr>
        <xdr:cNvPr id="32" name="Straight Arrow Connector 31">
          <a:extLst>
            <a:ext uri="{FF2B5EF4-FFF2-40B4-BE49-F238E27FC236}">
              <a16:creationId xmlns:a16="http://schemas.microsoft.com/office/drawing/2014/main" id="{A33CFD3D-9ECB-4A1A-A57F-861206CB0D7D}"/>
            </a:ext>
          </a:extLst>
        </xdr:cNvPr>
        <xdr:cNvCxnSpPr>
          <a:stCxn id="15" idx="3"/>
        </xdr:cNvCxnSpPr>
      </xdr:nvCxnSpPr>
      <xdr:spPr>
        <a:xfrm flipV="1">
          <a:off x="2276475" y="1362075"/>
          <a:ext cx="4133850" cy="66645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66675</xdr:colOff>
      <xdr:row>15</xdr:row>
      <xdr:rowOff>57150</xdr:rowOff>
    </xdr:from>
    <xdr:ext cx="2209800" cy="264560"/>
    <xdr:sp macro="" textlink="">
      <xdr:nvSpPr>
        <xdr:cNvPr id="35" name="TextBox 34">
          <a:extLst>
            <a:ext uri="{FF2B5EF4-FFF2-40B4-BE49-F238E27FC236}">
              <a16:creationId xmlns:a16="http://schemas.microsoft.com/office/drawing/2014/main" id="{499CE2C2-929B-40DC-9768-6C0AA972B69F}"/>
            </a:ext>
          </a:extLst>
        </xdr:cNvPr>
        <xdr:cNvSpPr txBox="1"/>
      </xdr:nvSpPr>
      <xdr:spPr>
        <a:xfrm>
          <a:off x="66675" y="2724150"/>
          <a:ext cx="2209800" cy="2645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r>
            <a:rPr lang="en-AU" sz="1100">
              <a:solidFill>
                <a:schemeClr val="lt1"/>
              </a:solidFill>
              <a:effectLst/>
              <a:latin typeface="+mn-lt"/>
              <a:ea typeface="+mn-ea"/>
              <a:cs typeface="+mn-cs"/>
            </a:rPr>
            <a:t>5. Enter</a:t>
          </a:r>
          <a:r>
            <a:rPr lang="en-AU" sz="1100" baseline="0">
              <a:solidFill>
                <a:schemeClr val="lt1"/>
              </a:solidFill>
              <a:effectLst/>
              <a:latin typeface="+mn-lt"/>
              <a:ea typeface="+mn-ea"/>
              <a:cs typeface="+mn-cs"/>
            </a:rPr>
            <a:t> water cost and usage</a:t>
          </a:r>
          <a:endParaRPr lang="en-AU">
            <a:solidFill>
              <a:schemeClr val="bg1">
                <a:lumMod val="95000"/>
              </a:schemeClr>
            </a:solidFill>
            <a:effectLst/>
          </a:endParaRPr>
        </a:p>
      </xdr:txBody>
    </xdr:sp>
    <xdr:clientData/>
  </xdr:oneCellAnchor>
  <xdr:twoCellAnchor>
    <xdr:from>
      <xdr:col>4</xdr:col>
      <xdr:colOff>457200</xdr:colOff>
      <xdr:row>11</xdr:row>
      <xdr:rowOff>38100</xdr:rowOff>
    </xdr:from>
    <xdr:to>
      <xdr:col>11</xdr:col>
      <xdr:colOff>38100</xdr:colOff>
      <xdr:row>15</xdr:row>
      <xdr:rowOff>180975</xdr:rowOff>
    </xdr:to>
    <xdr:cxnSp macro="">
      <xdr:nvCxnSpPr>
        <xdr:cNvPr id="36" name="Straight Arrow Connector 35">
          <a:extLst>
            <a:ext uri="{FF2B5EF4-FFF2-40B4-BE49-F238E27FC236}">
              <a16:creationId xmlns:a16="http://schemas.microsoft.com/office/drawing/2014/main" id="{741DD766-49C3-470D-8C06-B09FC0DCA12C}"/>
            </a:ext>
          </a:extLst>
        </xdr:cNvPr>
        <xdr:cNvCxnSpPr/>
      </xdr:nvCxnSpPr>
      <xdr:spPr>
        <a:xfrm flipV="1">
          <a:off x="2286000" y="1943100"/>
          <a:ext cx="3848100" cy="9048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447675</xdr:colOff>
      <xdr:row>11</xdr:row>
      <xdr:rowOff>9525</xdr:rowOff>
    </xdr:from>
    <xdr:to>
      <xdr:col>12</xdr:col>
      <xdr:colOff>28575</xdr:colOff>
      <xdr:row>15</xdr:row>
      <xdr:rowOff>189430</xdr:rowOff>
    </xdr:to>
    <xdr:cxnSp macro="">
      <xdr:nvCxnSpPr>
        <xdr:cNvPr id="38" name="Straight Arrow Connector 37">
          <a:extLst>
            <a:ext uri="{FF2B5EF4-FFF2-40B4-BE49-F238E27FC236}">
              <a16:creationId xmlns:a16="http://schemas.microsoft.com/office/drawing/2014/main" id="{087339F5-0648-44CF-9746-72152760FCA2}"/>
            </a:ext>
          </a:extLst>
        </xdr:cNvPr>
        <xdr:cNvCxnSpPr>
          <a:stCxn id="35" idx="3"/>
        </xdr:cNvCxnSpPr>
      </xdr:nvCxnSpPr>
      <xdr:spPr>
        <a:xfrm flipV="1">
          <a:off x="2276475" y="1914525"/>
          <a:ext cx="4457700" cy="94190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447675</xdr:colOff>
      <xdr:row>11</xdr:row>
      <xdr:rowOff>9525</xdr:rowOff>
    </xdr:from>
    <xdr:to>
      <xdr:col>7</xdr:col>
      <xdr:colOff>333375</xdr:colOff>
      <xdr:row>14</xdr:row>
      <xdr:rowOff>46555</xdr:rowOff>
    </xdr:to>
    <xdr:cxnSp macro="">
      <xdr:nvCxnSpPr>
        <xdr:cNvPr id="42" name="Straight Arrow Connector 41">
          <a:extLst>
            <a:ext uri="{FF2B5EF4-FFF2-40B4-BE49-F238E27FC236}">
              <a16:creationId xmlns:a16="http://schemas.microsoft.com/office/drawing/2014/main" id="{6663A280-0925-4CC8-B59D-7AD6B4FA70D5}"/>
            </a:ext>
          </a:extLst>
        </xdr:cNvPr>
        <xdr:cNvCxnSpPr>
          <a:stCxn id="16" idx="3"/>
        </xdr:cNvCxnSpPr>
      </xdr:nvCxnSpPr>
      <xdr:spPr>
        <a:xfrm flipV="1">
          <a:off x="2276475" y="1914525"/>
          <a:ext cx="1714500" cy="60853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472440</xdr:colOff>
      <xdr:row>11</xdr:row>
      <xdr:rowOff>19050</xdr:rowOff>
    </xdr:from>
    <xdr:to>
      <xdr:col>9</xdr:col>
      <xdr:colOff>0</xdr:colOff>
      <xdr:row>14</xdr:row>
      <xdr:rowOff>30480</xdr:rowOff>
    </xdr:to>
    <xdr:cxnSp macro="">
      <xdr:nvCxnSpPr>
        <xdr:cNvPr id="45" name="Straight Arrow Connector 44">
          <a:extLst>
            <a:ext uri="{FF2B5EF4-FFF2-40B4-BE49-F238E27FC236}">
              <a16:creationId xmlns:a16="http://schemas.microsoft.com/office/drawing/2014/main" id="{B46947EE-3137-4559-9D68-E19921672451}"/>
            </a:ext>
          </a:extLst>
        </xdr:cNvPr>
        <xdr:cNvCxnSpPr/>
      </xdr:nvCxnSpPr>
      <xdr:spPr>
        <a:xfrm flipV="1">
          <a:off x="2461260" y="1931670"/>
          <a:ext cx="2575560" cy="56007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361950</xdr:colOff>
      <xdr:row>2</xdr:row>
      <xdr:rowOff>57149</xdr:rowOff>
    </xdr:from>
    <xdr:ext cx="2343150" cy="5553075"/>
    <xdr:sp macro="" textlink="">
      <xdr:nvSpPr>
        <xdr:cNvPr id="48" name="TextBox 47">
          <a:extLst>
            <a:ext uri="{FF2B5EF4-FFF2-40B4-BE49-F238E27FC236}">
              <a16:creationId xmlns:a16="http://schemas.microsoft.com/office/drawing/2014/main" id="{AF5BBB8B-9EC5-40AF-BE0F-5723E1F32DB5}"/>
            </a:ext>
          </a:extLst>
        </xdr:cNvPr>
        <xdr:cNvSpPr txBox="1"/>
      </xdr:nvSpPr>
      <xdr:spPr>
        <a:xfrm>
          <a:off x="10877550" y="333374"/>
          <a:ext cx="2343150" cy="5553075"/>
        </a:xfrm>
        <a:prstGeom prst="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wrap="none" rtlCol="0" anchor="t">
          <a:noAutofit/>
        </a:bodyPr>
        <a:lstStyle/>
        <a:p>
          <a:r>
            <a:rPr lang="en-AU" sz="1100" b="1">
              <a:solidFill>
                <a:schemeClr val="tx2">
                  <a:lumMod val="50000"/>
                </a:schemeClr>
              </a:solidFill>
            </a:rPr>
            <a:t>Interpretation of outputs</a:t>
          </a:r>
        </a:p>
      </xdr:txBody>
    </xdr:sp>
    <xdr:clientData/>
  </xdr:oneCellAnchor>
  <xdr:oneCellAnchor>
    <xdr:from>
      <xdr:col>18</xdr:col>
      <xdr:colOff>447674</xdr:colOff>
      <xdr:row>3</xdr:row>
      <xdr:rowOff>171450</xdr:rowOff>
    </xdr:from>
    <xdr:ext cx="2219326" cy="436786"/>
    <xdr:sp macro="" textlink="">
      <xdr:nvSpPr>
        <xdr:cNvPr id="49" name="TextBox 48">
          <a:extLst>
            <a:ext uri="{FF2B5EF4-FFF2-40B4-BE49-F238E27FC236}">
              <a16:creationId xmlns:a16="http://schemas.microsoft.com/office/drawing/2014/main" id="{4DBA95D8-D3C6-4719-BB34-C37305F22247}"/>
            </a:ext>
          </a:extLst>
        </xdr:cNvPr>
        <xdr:cNvSpPr txBox="1"/>
      </xdr:nvSpPr>
      <xdr:spPr>
        <a:xfrm>
          <a:off x="10810874" y="552450"/>
          <a:ext cx="2219326" cy="436786"/>
        </a:xfrm>
        <a:prstGeom prst="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wrap="square" rtlCol="0" anchor="t">
          <a:spAutoFit/>
        </a:bodyPr>
        <a:lstStyle/>
        <a:p>
          <a:r>
            <a:rPr lang="en-AU" sz="1100">
              <a:solidFill>
                <a:schemeClr val="bg1">
                  <a:lumMod val="95000"/>
                </a:schemeClr>
              </a:solidFill>
              <a:effectLst/>
              <a:latin typeface="+mn-lt"/>
              <a:ea typeface="+mn-ea"/>
              <a:cs typeface="+mn-cs"/>
            </a:rPr>
            <a:t>1. Summary of energy</a:t>
          </a:r>
          <a:r>
            <a:rPr lang="en-AU" sz="1100" baseline="0">
              <a:solidFill>
                <a:schemeClr val="bg1">
                  <a:lumMod val="95000"/>
                </a:schemeClr>
              </a:solidFill>
              <a:effectLst/>
              <a:latin typeface="+mn-lt"/>
              <a:ea typeface="+mn-ea"/>
              <a:cs typeface="+mn-cs"/>
            </a:rPr>
            <a:t> use and costs </a:t>
          </a:r>
          <a:endParaRPr lang="en-AU">
            <a:solidFill>
              <a:schemeClr val="bg1">
                <a:lumMod val="95000"/>
              </a:schemeClr>
            </a:solidFill>
            <a:effectLst/>
          </a:endParaRPr>
        </a:p>
      </xdr:txBody>
    </xdr:sp>
    <xdr:clientData/>
  </xdr:oneCellAnchor>
  <xdr:oneCellAnchor>
    <xdr:from>
      <xdr:col>18</xdr:col>
      <xdr:colOff>438150</xdr:colOff>
      <xdr:row>6</xdr:row>
      <xdr:rowOff>95250</xdr:rowOff>
    </xdr:from>
    <xdr:ext cx="2228850" cy="323850"/>
    <xdr:sp macro="" textlink="">
      <xdr:nvSpPr>
        <xdr:cNvPr id="50" name="TextBox 49">
          <a:extLst>
            <a:ext uri="{FF2B5EF4-FFF2-40B4-BE49-F238E27FC236}">
              <a16:creationId xmlns:a16="http://schemas.microsoft.com/office/drawing/2014/main" id="{A87F871F-4AB3-497E-9D2B-8A874372B705}"/>
            </a:ext>
          </a:extLst>
        </xdr:cNvPr>
        <xdr:cNvSpPr txBox="1"/>
      </xdr:nvSpPr>
      <xdr:spPr>
        <a:xfrm>
          <a:off x="10801350" y="1047750"/>
          <a:ext cx="2228850" cy="323850"/>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wrap="square" rtlCol="0" anchor="t">
          <a:noAutofit/>
        </a:bodyPr>
        <a:lstStyle/>
        <a:p>
          <a:r>
            <a:rPr lang="en-AU" sz="1100">
              <a:solidFill>
                <a:schemeClr val="lt1"/>
              </a:solidFill>
              <a:effectLst/>
              <a:latin typeface="+mn-lt"/>
              <a:ea typeface="+mn-ea"/>
              <a:cs typeface="+mn-cs"/>
            </a:rPr>
            <a:t>2. Summary of water</a:t>
          </a:r>
          <a:r>
            <a:rPr lang="en-AU" sz="1100" baseline="0">
              <a:solidFill>
                <a:schemeClr val="lt1"/>
              </a:solidFill>
              <a:effectLst/>
              <a:latin typeface="+mn-lt"/>
              <a:ea typeface="+mn-ea"/>
              <a:cs typeface="+mn-cs"/>
            </a:rPr>
            <a:t> use and costs </a:t>
          </a:r>
          <a:endParaRPr lang="en-AU">
            <a:solidFill>
              <a:schemeClr val="bg1">
                <a:lumMod val="95000"/>
              </a:schemeClr>
            </a:solidFill>
            <a:effectLst/>
          </a:endParaRPr>
        </a:p>
      </xdr:txBody>
    </xdr:sp>
    <xdr:clientData/>
  </xdr:oneCellAnchor>
  <xdr:oneCellAnchor>
    <xdr:from>
      <xdr:col>18</xdr:col>
      <xdr:colOff>428625</xdr:colOff>
      <xdr:row>8</xdr:row>
      <xdr:rowOff>114300</xdr:rowOff>
    </xdr:from>
    <xdr:ext cx="2209800" cy="609013"/>
    <xdr:sp macro="" textlink="">
      <xdr:nvSpPr>
        <xdr:cNvPr id="51" name="TextBox 50">
          <a:extLst>
            <a:ext uri="{FF2B5EF4-FFF2-40B4-BE49-F238E27FC236}">
              <a16:creationId xmlns:a16="http://schemas.microsoft.com/office/drawing/2014/main" id="{3E200179-10E9-4801-AD53-2CB8FE7B4D9D}"/>
            </a:ext>
          </a:extLst>
        </xdr:cNvPr>
        <xdr:cNvSpPr txBox="1"/>
      </xdr:nvSpPr>
      <xdr:spPr>
        <a:xfrm>
          <a:off x="10791825" y="1447800"/>
          <a:ext cx="2209800" cy="609013"/>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wrap="square" rtlCol="0" anchor="t">
          <a:spAutoFit/>
        </a:bodyPr>
        <a:lstStyle/>
        <a:p>
          <a:r>
            <a:rPr lang="en-AU" sz="1100">
              <a:solidFill>
                <a:schemeClr val="lt1"/>
              </a:solidFill>
              <a:effectLst/>
              <a:latin typeface="+mn-lt"/>
              <a:ea typeface="+mn-ea"/>
              <a:cs typeface="+mn-cs"/>
            </a:rPr>
            <a:t>3. Average energy tarriff estimated from energy use and water use data</a:t>
          </a:r>
          <a:endParaRPr lang="en-AU">
            <a:solidFill>
              <a:schemeClr val="bg1">
                <a:lumMod val="95000"/>
              </a:schemeClr>
            </a:solidFill>
            <a:effectLst/>
          </a:endParaRPr>
        </a:p>
      </xdr:txBody>
    </xdr:sp>
    <xdr:clientData/>
  </xdr:oneCellAnchor>
  <xdr:oneCellAnchor>
    <xdr:from>
      <xdr:col>18</xdr:col>
      <xdr:colOff>428625</xdr:colOff>
      <xdr:row>12</xdr:row>
      <xdr:rowOff>19050</xdr:rowOff>
    </xdr:from>
    <xdr:ext cx="2209800" cy="264560"/>
    <xdr:sp macro="" textlink="">
      <xdr:nvSpPr>
        <xdr:cNvPr id="52" name="TextBox 51">
          <a:extLst>
            <a:ext uri="{FF2B5EF4-FFF2-40B4-BE49-F238E27FC236}">
              <a16:creationId xmlns:a16="http://schemas.microsoft.com/office/drawing/2014/main" id="{E08EC4C5-6957-40BE-B73D-E7CB09DC820B}"/>
            </a:ext>
          </a:extLst>
        </xdr:cNvPr>
        <xdr:cNvSpPr txBox="1"/>
      </xdr:nvSpPr>
      <xdr:spPr>
        <a:xfrm>
          <a:off x="10791825" y="2114550"/>
          <a:ext cx="2209800" cy="264560"/>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wrap="square" rtlCol="0" anchor="t">
          <a:spAutoFit/>
        </a:bodyPr>
        <a:lstStyle/>
        <a:p>
          <a:r>
            <a:rPr lang="en-AU" sz="1100">
              <a:solidFill>
                <a:schemeClr val="lt1"/>
              </a:solidFill>
              <a:effectLst/>
              <a:latin typeface="+mn-lt"/>
              <a:ea typeface="+mn-ea"/>
              <a:cs typeface="+mn-cs"/>
            </a:rPr>
            <a:t>4. Estimated</a:t>
          </a:r>
          <a:r>
            <a:rPr lang="en-AU" sz="1100" baseline="0">
              <a:solidFill>
                <a:schemeClr val="lt1"/>
              </a:solidFill>
              <a:effectLst/>
              <a:latin typeface="+mn-lt"/>
              <a:ea typeface="+mn-ea"/>
              <a:cs typeface="+mn-cs"/>
            </a:rPr>
            <a:t> pumping costs - S/ML</a:t>
          </a:r>
          <a:endParaRPr lang="en-AU">
            <a:solidFill>
              <a:schemeClr val="bg1">
                <a:lumMod val="95000"/>
              </a:schemeClr>
            </a:solidFill>
            <a:effectLst/>
          </a:endParaRPr>
        </a:p>
      </xdr:txBody>
    </xdr:sp>
    <xdr:clientData/>
  </xdr:oneCellAnchor>
  <xdr:oneCellAnchor>
    <xdr:from>
      <xdr:col>18</xdr:col>
      <xdr:colOff>428625</xdr:colOff>
      <xdr:row>13</xdr:row>
      <xdr:rowOff>152400</xdr:rowOff>
    </xdr:from>
    <xdr:ext cx="2209800" cy="264560"/>
    <xdr:sp macro="" textlink="">
      <xdr:nvSpPr>
        <xdr:cNvPr id="53" name="TextBox 52">
          <a:extLst>
            <a:ext uri="{FF2B5EF4-FFF2-40B4-BE49-F238E27FC236}">
              <a16:creationId xmlns:a16="http://schemas.microsoft.com/office/drawing/2014/main" id="{3D822998-7A4B-4558-9B8D-C7F32F7CBF23}"/>
            </a:ext>
          </a:extLst>
        </xdr:cNvPr>
        <xdr:cNvSpPr txBox="1"/>
      </xdr:nvSpPr>
      <xdr:spPr>
        <a:xfrm>
          <a:off x="10791825" y="2438400"/>
          <a:ext cx="2209800" cy="264560"/>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wrap="square" rtlCol="0" anchor="t">
          <a:spAutoFit/>
        </a:bodyPr>
        <a:lstStyle/>
        <a:p>
          <a:r>
            <a:rPr lang="en-AU" sz="1100">
              <a:solidFill>
                <a:schemeClr val="lt1"/>
              </a:solidFill>
              <a:effectLst/>
              <a:latin typeface="+mn-lt"/>
              <a:ea typeface="+mn-ea"/>
              <a:cs typeface="+mn-cs"/>
            </a:rPr>
            <a:t>5. Estimated energy use - kWh/ML</a:t>
          </a:r>
          <a:endParaRPr lang="en-AU">
            <a:solidFill>
              <a:schemeClr val="bg1">
                <a:lumMod val="95000"/>
              </a:schemeClr>
            </a:solidFill>
            <a:effectLst/>
          </a:endParaRPr>
        </a:p>
      </xdr:txBody>
    </xdr:sp>
    <xdr:clientData/>
  </xdr:oneCellAnchor>
  <xdr:twoCellAnchor>
    <xdr:from>
      <xdr:col>17</xdr:col>
      <xdr:colOff>152400</xdr:colOff>
      <xdr:row>5</xdr:row>
      <xdr:rowOff>8843</xdr:rowOff>
    </xdr:from>
    <xdr:to>
      <xdr:col>18</xdr:col>
      <xdr:colOff>447674</xdr:colOff>
      <xdr:row>6</xdr:row>
      <xdr:rowOff>114300</xdr:rowOff>
    </xdr:to>
    <xdr:cxnSp macro="">
      <xdr:nvCxnSpPr>
        <xdr:cNvPr id="54" name="Straight Arrow Connector 53">
          <a:extLst>
            <a:ext uri="{FF2B5EF4-FFF2-40B4-BE49-F238E27FC236}">
              <a16:creationId xmlns:a16="http://schemas.microsoft.com/office/drawing/2014/main" id="{72F8EBCB-2E4B-4A65-A977-19D8BB16F71B}"/>
            </a:ext>
          </a:extLst>
        </xdr:cNvPr>
        <xdr:cNvCxnSpPr>
          <a:stCxn id="49" idx="1"/>
        </xdr:cNvCxnSpPr>
      </xdr:nvCxnSpPr>
      <xdr:spPr>
        <a:xfrm flipH="1">
          <a:off x="9906000" y="770843"/>
          <a:ext cx="904874" cy="295957"/>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17</xdr:col>
      <xdr:colOff>152400</xdr:colOff>
      <xdr:row>7</xdr:row>
      <xdr:rowOff>66675</xdr:rowOff>
    </xdr:from>
    <xdr:to>
      <xdr:col>18</xdr:col>
      <xdr:colOff>438150</xdr:colOff>
      <xdr:row>7</xdr:row>
      <xdr:rowOff>76200</xdr:rowOff>
    </xdr:to>
    <xdr:cxnSp macro="">
      <xdr:nvCxnSpPr>
        <xdr:cNvPr id="57" name="Straight Arrow Connector 56">
          <a:extLst>
            <a:ext uri="{FF2B5EF4-FFF2-40B4-BE49-F238E27FC236}">
              <a16:creationId xmlns:a16="http://schemas.microsoft.com/office/drawing/2014/main" id="{BEBDC4EF-EC05-4A1D-A86B-77DA3B6AEEB8}"/>
            </a:ext>
          </a:extLst>
        </xdr:cNvPr>
        <xdr:cNvCxnSpPr>
          <a:stCxn id="50" idx="1"/>
        </xdr:cNvCxnSpPr>
      </xdr:nvCxnSpPr>
      <xdr:spPr>
        <a:xfrm flipH="1">
          <a:off x="9906000" y="1209675"/>
          <a:ext cx="895350" cy="9525"/>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16</xdr:col>
      <xdr:colOff>371475</xdr:colOff>
      <xdr:row>10</xdr:row>
      <xdr:rowOff>28575</xdr:rowOff>
    </xdr:from>
    <xdr:to>
      <xdr:col>18</xdr:col>
      <xdr:colOff>428625</xdr:colOff>
      <xdr:row>10</xdr:row>
      <xdr:rowOff>37807</xdr:rowOff>
    </xdr:to>
    <xdr:cxnSp macro="">
      <xdr:nvCxnSpPr>
        <xdr:cNvPr id="60" name="Straight Arrow Connector 59">
          <a:extLst>
            <a:ext uri="{FF2B5EF4-FFF2-40B4-BE49-F238E27FC236}">
              <a16:creationId xmlns:a16="http://schemas.microsoft.com/office/drawing/2014/main" id="{C16F5454-02A9-449D-A373-229D1F004E8C}"/>
            </a:ext>
          </a:extLst>
        </xdr:cNvPr>
        <xdr:cNvCxnSpPr>
          <a:stCxn id="51" idx="1"/>
        </xdr:cNvCxnSpPr>
      </xdr:nvCxnSpPr>
      <xdr:spPr>
        <a:xfrm flipH="1" flipV="1">
          <a:off x="9515475" y="1743075"/>
          <a:ext cx="1276350" cy="9232"/>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16</xdr:col>
      <xdr:colOff>361950</xdr:colOff>
      <xdr:row>10</xdr:row>
      <xdr:rowOff>161925</xdr:rowOff>
    </xdr:from>
    <xdr:to>
      <xdr:col>18</xdr:col>
      <xdr:colOff>428625</xdr:colOff>
      <xdr:row>12</xdr:row>
      <xdr:rowOff>151330</xdr:rowOff>
    </xdr:to>
    <xdr:cxnSp macro="">
      <xdr:nvCxnSpPr>
        <xdr:cNvPr id="64" name="Straight Arrow Connector 63">
          <a:extLst>
            <a:ext uri="{FF2B5EF4-FFF2-40B4-BE49-F238E27FC236}">
              <a16:creationId xmlns:a16="http://schemas.microsoft.com/office/drawing/2014/main" id="{923B0F79-35D4-4EB8-916F-D42FED0FA965}"/>
            </a:ext>
          </a:extLst>
        </xdr:cNvPr>
        <xdr:cNvCxnSpPr>
          <a:stCxn id="52" idx="1"/>
        </xdr:cNvCxnSpPr>
      </xdr:nvCxnSpPr>
      <xdr:spPr>
        <a:xfrm flipH="1" flipV="1">
          <a:off x="9505950" y="1876425"/>
          <a:ext cx="1285875" cy="370405"/>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16</xdr:col>
      <xdr:colOff>514350</xdr:colOff>
      <xdr:row>11</xdr:row>
      <xdr:rowOff>123825</xdr:rowOff>
    </xdr:from>
    <xdr:to>
      <xdr:col>18</xdr:col>
      <xdr:colOff>428625</xdr:colOff>
      <xdr:row>14</xdr:row>
      <xdr:rowOff>94180</xdr:rowOff>
    </xdr:to>
    <xdr:cxnSp macro="">
      <xdr:nvCxnSpPr>
        <xdr:cNvPr id="67" name="Straight Arrow Connector 66">
          <a:extLst>
            <a:ext uri="{FF2B5EF4-FFF2-40B4-BE49-F238E27FC236}">
              <a16:creationId xmlns:a16="http://schemas.microsoft.com/office/drawing/2014/main" id="{2043D376-AEC1-4FB9-9CA6-D9DF37388E1E}"/>
            </a:ext>
          </a:extLst>
        </xdr:cNvPr>
        <xdr:cNvCxnSpPr>
          <a:stCxn id="53" idx="1"/>
        </xdr:cNvCxnSpPr>
      </xdr:nvCxnSpPr>
      <xdr:spPr>
        <a:xfrm flipH="1" flipV="1">
          <a:off x="9658350" y="2028825"/>
          <a:ext cx="1133475" cy="541855"/>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oneCellAnchor>
    <xdr:from>
      <xdr:col>18</xdr:col>
      <xdr:colOff>428625</xdr:colOff>
      <xdr:row>15</xdr:row>
      <xdr:rowOff>95250</xdr:rowOff>
    </xdr:from>
    <xdr:ext cx="2209800" cy="609013"/>
    <xdr:sp macro="" textlink="">
      <xdr:nvSpPr>
        <xdr:cNvPr id="69" name="TextBox 68">
          <a:extLst>
            <a:ext uri="{FF2B5EF4-FFF2-40B4-BE49-F238E27FC236}">
              <a16:creationId xmlns:a16="http://schemas.microsoft.com/office/drawing/2014/main" id="{2C89074B-FCA0-44BA-8B3D-09BC6A5AFA0A}"/>
            </a:ext>
          </a:extLst>
        </xdr:cNvPr>
        <xdr:cNvSpPr txBox="1"/>
      </xdr:nvSpPr>
      <xdr:spPr>
        <a:xfrm>
          <a:off x="10791825" y="2762250"/>
          <a:ext cx="2209800" cy="609013"/>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wrap="square" rtlCol="0" anchor="t">
          <a:spAutoFit/>
        </a:bodyPr>
        <a:lstStyle/>
        <a:p>
          <a:r>
            <a:rPr lang="en-AU" sz="1100">
              <a:solidFill>
                <a:schemeClr val="lt1"/>
              </a:solidFill>
              <a:effectLst/>
              <a:latin typeface="+mn-lt"/>
              <a:ea typeface="+mn-ea"/>
              <a:cs typeface="+mn-cs"/>
            </a:rPr>
            <a:t>6. Compare your estimated pumping costs (purple) to a range of other benchmark systems </a:t>
          </a:r>
          <a:endParaRPr lang="en-AU">
            <a:solidFill>
              <a:schemeClr val="bg1">
                <a:lumMod val="95000"/>
              </a:schemeClr>
            </a:solidFill>
            <a:effectLst/>
          </a:endParaRPr>
        </a:p>
      </xdr:txBody>
    </xdr:sp>
    <xdr:clientData/>
  </xdr:oneCellAnchor>
  <xdr:oneCellAnchor>
    <xdr:from>
      <xdr:col>18</xdr:col>
      <xdr:colOff>419100</xdr:colOff>
      <xdr:row>19</xdr:row>
      <xdr:rowOff>28575</xdr:rowOff>
    </xdr:from>
    <xdr:ext cx="2209800" cy="1297919"/>
    <xdr:sp macro="" textlink="">
      <xdr:nvSpPr>
        <xdr:cNvPr id="70" name="TextBox 69">
          <a:extLst>
            <a:ext uri="{FF2B5EF4-FFF2-40B4-BE49-F238E27FC236}">
              <a16:creationId xmlns:a16="http://schemas.microsoft.com/office/drawing/2014/main" id="{A12B654D-8741-450A-816E-8AD0EC3B7D54}"/>
            </a:ext>
          </a:extLst>
        </xdr:cNvPr>
        <xdr:cNvSpPr txBox="1"/>
      </xdr:nvSpPr>
      <xdr:spPr>
        <a:xfrm>
          <a:off x="10934700" y="3543300"/>
          <a:ext cx="2209800" cy="1297919"/>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wrap="square" rtlCol="0" anchor="t">
          <a:spAutoFit/>
        </a:bodyPr>
        <a:lstStyle/>
        <a:p>
          <a:r>
            <a:rPr lang="en-AU" sz="1100">
              <a:solidFill>
                <a:schemeClr val="lt1"/>
              </a:solidFill>
              <a:effectLst/>
              <a:latin typeface="+mn-lt"/>
              <a:ea typeface="+mn-ea"/>
              <a:cs typeface="+mn-cs"/>
            </a:rPr>
            <a:t>7. Compare your estimated pumping costs (purple) to other specific benchmark systems,</a:t>
          </a:r>
          <a:r>
            <a:rPr lang="en-AU" sz="1100" baseline="0">
              <a:solidFill>
                <a:schemeClr val="lt1"/>
              </a:solidFill>
              <a:effectLst/>
              <a:latin typeface="+mn-lt"/>
              <a:ea typeface="+mn-ea"/>
              <a:cs typeface="+mn-cs"/>
            </a:rPr>
            <a:t> showing static head (can not be changed) and dynamic head (potential to change to save energy costs)</a:t>
          </a:r>
          <a:endParaRPr lang="en-AU">
            <a:solidFill>
              <a:schemeClr val="bg1">
                <a:lumMod val="95000"/>
              </a:schemeClr>
            </a:solidFill>
            <a:effectLst/>
          </a:endParaRPr>
        </a:p>
      </xdr:txBody>
    </xdr:sp>
    <xdr:clientData/>
  </xdr:oneCellAnchor>
  <xdr:twoCellAnchor>
    <xdr:from>
      <xdr:col>14</xdr:col>
      <xdr:colOff>276225</xdr:colOff>
      <xdr:row>16</xdr:row>
      <xdr:rowOff>180975</xdr:rowOff>
    </xdr:from>
    <xdr:to>
      <xdr:col>18</xdr:col>
      <xdr:colOff>428625</xdr:colOff>
      <xdr:row>17</xdr:row>
      <xdr:rowOff>18757</xdr:rowOff>
    </xdr:to>
    <xdr:cxnSp macro="">
      <xdr:nvCxnSpPr>
        <xdr:cNvPr id="71" name="Straight Arrow Connector 70">
          <a:extLst>
            <a:ext uri="{FF2B5EF4-FFF2-40B4-BE49-F238E27FC236}">
              <a16:creationId xmlns:a16="http://schemas.microsoft.com/office/drawing/2014/main" id="{A9427E06-F941-4DD3-B2D1-3CD0916E7697}"/>
            </a:ext>
          </a:extLst>
        </xdr:cNvPr>
        <xdr:cNvCxnSpPr>
          <a:stCxn id="69" idx="1"/>
        </xdr:cNvCxnSpPr>
      </xdr:nvCxnSpPr>
      <xdr:spPr>
        <a:xfrm flipH="1" flipV="1">
          <a:off x="8201025" y="3038475"/>
          <a:ext cx="2590800" cy="28282"/>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6</xdr:col>
      <xdr:colOff>533400</xdr:colOff>
      <xdr:row>22</xdr:row>
      <xdr:rowOff>106035</xdr:rowOff>
    </xdr:from>
    <xdr:to>
      <xdr:col>18</xdr:col>
      <xdr:colOff>419100</xdr:colOff>
      <xdr:row>25</xdr:row>
      <xdr:rowOff>19050</xdr:rowOff>
    </xdr:to>
    <xdr:cxnSp macro="">
      <xdr:nvCxnSpPr>
        <xdr:cNvPr id="74" name="Straight Arrow Connector 73">
          <a:extLst>
            <a:ext uri="{FF2B5EF4-FFF2-40B4-BE49-F238E27FC236}">
              <a16:creationId xmlns:a16="http://schemas.microsoft.com/office/drawing/2014/main" id="{9A9E0F3D-A858-4C41-A955-D49F354B58A7}"/>
            </a:ext>
          </a:extLst>
        </xdr:cNvPr>
        <xdr:cNvCxnSpPr>
          <a:stCxn id="70" idx="1"/>
        </xdr:cNvCxnSpPr>
      </xdr:nvCxnSpPr>
      <xdr:spPr>
        <a:xfrm flipH="1">
          <a:off x="3733800" y="4192260"/>
          <a:ext cx="7200900" cy="484515"/>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oneCellAnchor>
    <xdr:from>
      <xdr:col>1</xdr:col>
      <xdr:colOff>57150</xdr:colOff>
      <xdr:row>17</xdr:row>
      <xdr:rowOff>9525</xdr:rowOff>
    </xdr:from>
    <xdr:ext cx="2209800" cy="436786"/>
    <xdr:sp macro="" textlink="">
      <xdr:nvSpPr>
        <xdr:cNvPr id="77" name="TextBox 76">
          <a:extLst>
            <a:ext uri="{FF2B5EF4-FFF2-40B4-BE49-F238E27FC236}">
              <a16:creationId xmlns:a16="http://schemas.microsoft.com/office/drawing/2014/main" id="{67333021-5C10-495A-A8BC-EF11A0B3FA94}"/>
            </a:ext>
          </a:extLst>
        </xdr:cNvPr>
        <xdr:cNvSpPr txBox="1"/>
      </xdr:nvSpPr>
      <xdr:spPr>
        <a:xfrm>
          <a:off x="57150" y="3057525"/>
          <a:ext cx="2209800" cy="436786"/>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r>
            <a:rPr lang="en-AU" sz="1100">
              <a:solidFill>
                <a:schemeClr val="lt1"/>
              </a:solidFill>
              <a:effectLst/>
              <a:latin typeface="+mn-lt"/>
              <a:ea typeface="+mn-ea"/>
              <a:cs typeface="+mn-cs"/>
            </a:rPr>
            <a:t>6. Select</a:t>
          </a:r>
          <a:r>
            <a:rPr lang="en-AU" sz="1100" baseline="0">
              <a:solidFill>
                <a:schemeClr val="lt1"/>
              </a:solidFill>
              <a:effectLst/>
              <a:latin typeface="+mn-lt"/>
              <a:ea typeface="+mn-ea"/>
              <a:cs typeface="+mn-cs"/>
            </a:rPr>
            <a:t> water use units </a:t>
          </a:r>
        </a:p>
        <a:p>
          <a:r>
            <a:rPr lang="en-AU" sz="1100" baseline="0">
              <a:solidFill>
                <a:schemeClr val="lt1"/>
              </a:solidFill>
              <a:effectLst/>
              <a:latin typeface="+mn-lt"/>
              <a:ea typeface="+mn-ea"/>
              <a:cs typeface="+mn-cs"/>
            </a:rPr>
            <a:t>(ML or kL)</a:t>
          </a:r>
          <a:endParaRPr lang="en-AU">
            <a:solidFill>
              <a:schemeClr val="bg1">
                <a:lumMod val="95000"/>
              </a:schemeClr>
            </a:solidFill>
            <a:effectLst/>
          </a:endParaRPr>
        </a:p>
      </xdr:txBody>
    </xdr:sp>
    <xdr:clientData/>
  </xdr:oneCellAnchor>
  <xdr:twoCellAnchor>
    <xdr:from>
      <xdr:col>4</xdr:col>
      <xdr:colOff>438150</xdr:colOff>
      <xdr:row>10</xdr:row>
      <xdr:rowOff>104775</xdr:rowOff>
    </xdr:from>
    <xdr:to>
      <xdr:col>12</xdr:col>
      <xdr:colOff>409575</xdr:colOff>
      <xdr:row>18</xdr:row>
      <xdr:rowOff>37418</xdr:rowOff>
    </xdr:to>
    <xdr:cxnSp macro="">
      <xdr:nvCxnSpPr>
        <xdr:cNvPr id="78" name="Straight Arrow Connector 77">
          <a:extLst>
            <a:ext uri="{FF2B5EF4-FFF2-40B4-BE49-F238E27FC236}">
              <a16:creationId xmlns:a16="http://schemas.microsoft.com/office/drawing/2014/main" id="{F58A8AC4-E2E5-4E57-B1CD-5933709C8B30}"/>
            </a:ext>
          </a:extLst>
        </xdr:cNvPr>
        <xdr:cNvCxnSpPr>
          <a:stCxn id="77" idx="3"/>
        </xdr:cNvCxnSpPr>
      </xdr:nvCxnSpPr>
      <xdr:spPr>
        <a:xfrm flipV="1">
          <a:off x="2266950" y="1819275"/>
          <a:ext cx="4848225" cy="1456643"/>
        </a:xfrm>
        <a:prstGeom prst="curvedConnector3">
          <a:avLst>
            <a:gd name="adj1" fmla="val 99116"/>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oneCellAnchor>
    <xdr:from>
      <xdr:col>1</xdr:col>
      <xdr:colOff>9525</xdr:colOff>
      <xdr:row>2</xdr:row>
      <xdr:rowOff>76199</xdr:rowOff>
    </xdr:from>
    <xdr:ext cx="13068300" cy="6429376"/>
    <xdr:sp macro="" textlink="">
      <xdr:nvSpPr>
        <xdr:cNvPr id="2" name="TextBox 1">
          <a:extLst>
            <a:ext uri="{FF2B5EF4-FFF2-40B4-BE49-F238E27FC236}">
              <a16:creationId xmlns:a16="http://schemas.microsoft.com/office/drawing/2014/main" id="{B63A8DAA-A3AB-431B-86CB-5F6CFF2E8C14}"/>
            </a:ext>
          </a:extLst>
        </xdr:cNvPr>
        <xdr:cNvSpPr txBox="1"/>
      </xdr:nvSpPr>
      <xdr:spPr>
        <a:xfrm>
          <a:off x="161925" y="352424"/>
          <a:ext cx="13068300" cy="6429376"/>
        </a:xfrm>
        <a:prstGeom prst="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wrap="none" rtlCol="0" anchor="t">
          <a:noAutofit/>
        </a:bodyPr>
        <a:lstStyle/>
        <a:p>
          <a:r>
            <a:rPr lang="en-AU" sz="1100" b="1">
              <a:solidFill>
                <a:schemeClr val="tx2">
                  <a:lumMod val="50000"/>
                </a:schemeClr>
              </a:solidFill>
            </a:rPr>
            <a:t>Data input</a:t>
          </a:r>
        </a:p>
      </xdr:txBody>
    </xdr:sp>
    <xdr:clientData/>
  </xdr:oneCellAnchor>
  <xdr:twoCellAnchor editAs="oneCell">
    <xdr:from>
      <xdr:col>5</xdr:col>
      <xdr:colOff>542924</xdr:colOff>
      <xdr:row>9</xdr:row>
      <xdr:rowOff>25685</xdr:rowOff>
    </xdr:from>
    <xdr:to>
      <xdr:col>17</xdr:col>
      <xdr:colOff>485775</xdr:colOff>
      <xdr:row>30</xdr:row>
      <xdr:rowOff>132376</xdr:rowOff>
    </xdr:to>
    <xdr:pic>
      <xdr:nvPicPr>
        <xdr:cNvPr id="6" name="Picture 5">
          <a:extLst>
            <a:ext uri="{FF2B5EF4-FFF2-40B4-BE49-F238E27FC236}">
              <a16:creationId xmlns:a16="http://schemas.microsoft.com/office/drawing/2014/main" id="{35607BF5-E7E7-4A64-B8B0-83B0426D4976}"/>
            </a:ext>
          </a:extLst>
        </xdr:cNvPr>
        <xdr:cNvPicPr>
          <a:picLocks noChangeAspect="1"/>
        </xdr:cNvPicPr>
      </xdr:nvPicPr>
      <xdr:blipFill>
        <a:blip xmlns:r="http://schemas.openxmlformats.org/officeDocument/2006/relationships" r:embed="rId1"/>
        <a:stretch>
          <a:fillRect/>
        </a:stretch>
      </xdr:blipFill>
      <xdr:spPr>
        <a:xfrm>
          <a:off x="3133724" y="1635410"/>
          <a:ext cx="7258051" cy="4107191"/>
        </a:xfrm>
        <a:prstGeom prst="rect">
          <a:avLst/>
        </a:prstGeom>
      </xdr:spPr>
    </xdr:pic>
    <xdr:clientData/>
  </xdr:twoCellAnchor>
  <xdr:oneCellAnchor>
    <xdr:from>
      <xdr:col>1</xdr:col>
      <xdr:colOff>28575</xdr:colOff>
      <xdr:row>14</xdr:row>
      <xdr:rowOff>133350</xdr:rowOff>
    </xdr:from>
    <xdr:ext cx="2376000" cy="581026"/>
    <xdr:sp macro="" textlink="">
      <xdr:nvSpPr>
        <xdr:cNvPr id="5" name="TextBox 4">
          <a:extLst>
            <a:ext uri="{FF2B5EF4-FFF2-40B4-BE49-F238E27FC236}">
              <a16:creationId xmlns:a16="http://schemas.microsoft.com/office/drawing/2014/main" id="{9BC9BC9D-6A25-442E-B18A-BF552F0E5ACE}"/>
            </a:ext>
          </a:extLst>
        </xdr:cNvPr>
        <xdr:cNvSpPr txBox="1"/>
      </xdr:nvSpPr>
      <xdr:spPr>
        <a:xfrm>
          <a:off x="180975" y="2695575"/>
          <a:ext cx="2376000" cy="581026"/>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t">
          <a:noAutofit/>
        </a:bodyPr>
        <a:lstStyle/>
        <a:p>
          <a:r>
            <a:rPr lang="en-AU" sz="1000">
              <a:solidFill>
                <a:schemeClr val="lt1"/>
              </a:solidFill>
              <a:effectLst/>
              <a:latin typeface="+mn-lt"/>
              <a:ea typeface="+mn-ea"/>
              <a:cs typeface="+mn-cs"/>
            </a:rPr>
            <a:t>4. </a:t>
          </a:r>
          <a:r>
            <a:rPr lang="en-AU" sz="1000" baseline="0">
              <a:solidFill>
                <a:schemeClr val="lt1"/>
              </a:solidFill>
              <a:effectLst/>
              <a:latin typeface="+mn-lt"/>
              <a:ea typeface="+mn-ea"/>
              <a:cs typeface="+mn-cs"/>
            </a:rPr>
            <a:t>Enter water use data at the start and end of the observation period, and the number of minutes of observation.</a:t>
          </a:r>
          <a:endParaRPr lang="en-AU" sz="1000">
            <a:solidFill>
              <a:schemeClr val="bg1">
                <a:lumMod val="95000"/>
              </a:schemeClr>
            </a:solidFill>
            <a:effectLst/>
          </a:endParaRPr>
        </a:p>
      </xdr:txBody>
    </xdr:sp>
    <xdr:clientData/>
  </xdr:oneCellAnchor>
  <xdr:twoCellAnchor>
    <xdr:from>
      <xdr:col>4</xdr:col>
      <xdr:colOff>575775</xdr:colOff>
      <xdr:row>7</xdr:row>
      <xdr:rowOff>176213</xdr:rowOff>
    </xdr:from>
    <xdr:to>
      <xdr:col>5</xdr:col>
      <xdr:colOff>400050</xdr:colOff>
      <xdr:row>12</xdr:row>
      <xdr:rowOff>47625</xdr:rowOff>
    </xdr:to>
    <xdr:cxnSp macro="">
      <xdr:nvCxnSpPr>
        <xdr:cNvPr id="8" name="Straight Arrow Connector 7">
          <a:extLst>
            <a:ext uri="{FF2B5EF4-FFF2-40B4-BE49-F238E27FC236}">
              <a16:creationId xmlns:a16="http://schemas.microsoft.com/office/drawing/2014/main" id="{A6AD4C4B-E448-437E-9F46-E583063C60F3}"/>
            </a:ext>
          </a:extLst>
        </xdr:cNvPr>
        <xdr:cNvCxnSpPr>
          <a:stCxn id="4" idx="3"/>
          <a:endCxn id="55" idx="1"/>
        </xdr:cNvCxnSpPr>
      </xdr:nvCxnSpPr>
      <xdr:spPr>
        <a:xfrm>
          <a:off x="2556975" y="1404938"/>
          <a:ext cx="433875" cy="82391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575775</xdr:colOff>
      <xdr:row>16</xdr:row>
      <xdr:rowOff>23813</xdr:rowOff>
    </xdr:from>
    <xdr:to>
      <xdr:col>5</xdr:col>
      <xdr:colOff>419101</xdr:colOff>
      <xdr:row>16</xdr:row>
      <xdr:rowOff>42863</xdr:rowOff>
    </xdr:to>
    <xdr:cxnSp macro="">
      <xdr:nvCxnSpPr>
        <xdr:cNvPr id="10" name="Straight Arrow Connector 9">
          <a:extLst>
            <a:ext uri="{FF2B5EF4-FFF2-40B4-BE49-F238E27FC236}">
              <a16:creationId xmlns:a16="http://schemas.microsoft.com/office/drawing/2014/main" id="{8D3BEAB5-1C68-4F23-AED0-9FC80A896203}"/>
            </a:ext>
          </a:extLst>
        </xdr:cNvPr>
        <xdr:cNvCxnSpPr>
          <a:stCxn id="5" idx="3"/>
          <a:endCxn id="57" idx="1"/>
        </xdr:cNvCxnSpPr>
      </xdr:nvCxnSpPr>
      <xdr:spPr>
        <a:xfrm flipV="1">
          <a:off x="2556975" y="2967038"/>
          <a:ext cx="452926" cy="190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575775</xdr:colOff>
      <xdr:row>12</xdr:row>
      <xdr:rowOff>100012</xdr:rowOff>
    </xdr:from>
    <xdr:to>
      <xdr:col>5</xdr:col>
      <xdr:colOff>409576</xdr:colOff>
      <xdr:row>13</xdr:row>
      <xdr:rowOff>152401</xdr:rowOff>
    </xdr:to>
    <xdr:cxnSp macro="">
      <xdr:nvCxnSpPr>
        <xdr:cNvPr id="16" name="Straight Arrow Connector 15">
          <a:extLst>
            <a:ext uri="{FF2B5EF4-FFF2-40B4-BE49-F238E27FC236}">
              <a16:creationId xmlns:a16="http://schemas.microsoft.com/office/drawing/2014/main" id="{EEF3D959-A423-4428-B078-2151535A8E5B}"/>
            </a:ext>
          </a:extLst>
        </xdr:cNvPr>
        <xdr:cNvCxnSpPr>
          <a:stCxn id="7" idx="3"/>
          <a:endCxn id="98" idx="1"/>
        </xdr:cNvCxnSpPr>
      </xdr:nvCxnSpPr>
      <xdr:spPr>
        <a:xfrm>
          <a:off x="2556975" y="2281237"/>
          <a:ext cx="443401" cy="24288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575775</xdr:colOff>
      <xdr:row>17</xdr:row>
      <xdr:rowOff>85726</xdr:rowOff>
    </xdr:from>
    <xdr:to>
      <xdr:col>5</xdr:col>
      <xdr:colOff>409576</xdr:colOff>
      <xdr:row>21</xdr:row>
      <xdr:rowOff>47625</xdr:rowOff>
    </xdr:to>
    <xdr:cxnSp macro="">
      <xdr:nvCxnSpPr>
        <xdr:cNvPr id="17" name="Straight Arrow Connector 16">
          <a:extLst>
            <a:ext uri="{FF2B5EF4-FFF2-40B4-BE49-F238E27FC236}">
              <a16:creationId xmlns:a16="http://schemas.microsoft.com/office/drawing/2014/main" id="{DC9F819C-8951-48A2-85EC-A7B005C9821C}"/>
            </a:ext>
          </a:extLst>
        </xdr:cNvPr>
        <xdr:cNvCxnSpPr>
          <a:stCxn id="62" idx="3"/>
          <a:endCxn id="67" idx="1"/>
        </xdr:cNvCxnSpPr>
      </xdr:nvCxnSpPr>
      <xdr:spPr>
        <a:xfrm flipV="1">
          <a:off x="2556975" y="3219451"/>
          <a:ext cx="443401" cy="72389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28575</xdr:colOff>
      <xdr:row>5</xdr:row>
      <xdr:rowOff>161925</xdr:rowOff>
    </xdr:from>
    <xdr:to>
      <xdr:col>4</xdr:col>
      <xdr:colOff>575775</xdr:colOff>
      <xdr:row>10</xdr:row>
      <xdr:rowOff>1</xdr:rowOff>
    </xdr:to>
    <xdr:grpSp>
      <xdr:nvGrpSpPr>
        <xdr:cNvPr id="20" name="Group 19">
          <a:extLst>
            <a:ext uri="{FF2B5EF4-FFF2-40B4-BE49-F238E27FC236}">
              <a16:creationId xmlns:a16="http://schemas.microsoft.com/office/drawing/2014/main" id="{A685AECB-7FB4-49F3-80C3-9BD497D36372}"/>
            </a:ext>
          </a:extLst>
        </xdr:cNvPr>
        <xdr:cNvGrpSpPr/>
      </xdr:nvGrpSpPr>
      <xdr:grpSpPr>
        <a:xfrm>
          <a:off x="180975" y="1009650"/>
          <a:ext cx="2376000" cy="790576"/>
          <a:chOff x="209550" y="657225"/>
          <a:chExt cx="2190751" cy="790576"/>
        </a:xfrm>
      </xdr:grpSpPr>
      <xdr:sp macro="" textlink="">
        <xdr:nvSpPr>
          <xdr:cNvPr id="4" name="TextBox 3">
            <a:extLst>
              <a:ext uri="{FF2B5EF4-FFF2-40B4-BE49-F238E27FC236}">
                <a16:creationId xmlns:a16="http://schemas.microsoft.com/office/drawing/2014/main" id="{133E99B1-8C5F-4ACC-845A-31F8788B624E}"/>
              </a:ext>
            </a:extLst>
          </xdr:cNvPr>
          <xdr:cNvSpPr txBox="1"/>
        </xdr:nvSpPr>
        <xdr:spPr>
          <a:xfrm>
            <a:off x="209550" y="657225"/>
            <a:ext cx="2190751" cy="790576"/>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t">
            <a:noAutofit/>
          </a:bodyPr>
          <a:lstStyle/>
          <a:p>
            <a:r>
              <a:rPr lang="en-AU" sz="1000">
                <a:solidFill>
                  <a:schemeClr val="bg1">
                    <a:lumMod val="95000"/>
                  </a:schemeClr>
                </a:solidFill>
                <a:effectLst/>
                <a:latin typeface="+mn-lt"/>
                <a:ea typeface="+mn-ea"/>
                <a:cs typeface="+mn-cs"/>
              </a:rPr>
              <a:t>2.</a:t>
            </a:r>
            <a:r>
              <a:rPr lang="en-AU" sz="1000" baseline="0">
                <a:solidFill>
                  <a:schemeClr val="bg1">
                    <a:lumMod val="95000"/>
                  </a:schemeClr>
                </a:solidFill>
                <a:effectLst/>
                <a:latin typeface="+mn-lt"/>
                <a:ea typeface="+mn-ea"/>
                <a:cs typeface="+mn-cs"/>
              </a:rPr>
              <a:t> Enter energy use data at the start and end of the observation period, and the number of minutes of observation.</a:t>
            </a:r>
          </a:p>
        </xdr:txBody>
      </xdr:sp>
      <xdr:sp macro="" textlink="">
        <xdr:nvSpPr>
          <xdr:cNvPr id="49" name="TextBox 48">
            <a:extLst>
              <a:ext uri="{FF2B5EF4-FFF2-40B4-BE49-F238E27FC236}">
                <a16:creationId xmlns:a16="http://schemas.microsoft.com/office/drawing/2014/main" id="{8D308968-EC47-450D-B659-27A4BE8EE49E}"/>
              </a:ext>
            </a:extLst>
          </xdr:cNvPr>
          <xdr:cNvSpPr txBox="1"/>
        </xdr:nvSpPr>
        <xdr:spPr>
          <a:xfrm>
            <a:off x="400050" y="1200150"/>
            <a:ext cx="1962150" cy="190499"/>
          </a:xfrm>
          <a:prstGeom prst="rect">
            <a:avLst/>
          </a:prstGeom>
          <a:solidFill>
            <a:schemeClr val="accent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r>
              <a:rPr lang="en-AU" sz="900" baseline="0">
                <a:solidFill>
                  <a:srgbClr val="FF0000"/>
                </a:solidFill>
                <a:effectLst/>
                <a:latin typeface="+mn-lt"/>
                <a:ea typeface="+mn-ea"/>
                <a:cs typeface="+mn-cs"/>
              </a:rPr>
              <a:t>Output: energy use (kW) is calculated</a:t>
            </a:r>
            <a:endParaRPr lang="en-AU" sz="900">
              <a:solidFill>
                <a:srgbClr val="FF0000"/>
              </a:solidFill>
              <a:effectLst/>
            </a:endParaRPr>
          </a:p>
        </xdr:txBody>
      </xdr:sp>
    </xdr:grpSp>
    <xdr:clientData/>
  </xdr:twoCellAnchor>
  <xdr:twoCellAnchor>
    <xdr:from>
      <xdr:col>5</xdr:col>
      <xdr:colOff>400050</xdr:colOff>
      <xdr:row>11</xdr:row>
      <xdr:rowOff>47625</xdr:rowOff>
    </xdr:from>
    <xdr:to>
      <xdr:col>5</xdr:col>
      <xdr:colOff>523876</xdr:colOff>
      <xdr:row>13</xdr:row>
      <xdr:rowOff>47625</xdr:rowOff>
    </xdr:to>
    <xdr:sp macro="" textlink="">
      <xdr:nvSpPr>
        <xdr:cNvPr id="55" name="Left Brace 54">
          <a:extLst>
            <a:ext uri="{FF2B5EF4-FFF2-40B4-BE49-F238E27FC236}">
              <a16:creationId xmlns:a16="http://schemas.microsoft.com/office/drawing/2014/main" id="{317B8F69-BFD8-4B81-BC96-374C8E33E713}"/>
            </a:ext>
          </a:extLst>
        </xdr:cNvPr>
        <xdr:cNvSpPr/>
      </xdr:nvSpPr>
      <xdr:spPr>
        <a:xfrm>
          <a:off x="2990850" y="2038350"/>
          <a:ext cx="123826" cy="381000"/>
        </a:xfrm>
        <a:prstGeom prst="leftBrace">
          <a:avLst/>
        </a:prstGeom>
        <a:ln w="1905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AU" sz="1100"/>
        </a:p>
      </xdr:txBody>
    </xdr:sp>
    <xdr:clientData/>
  </xdr:twoCellAnchor>
  <xdr:twoCellAnchor>
    <xdr:from>
      <xdr:col>5</xdr:col>
      <xdr:colOff>419101</xdr:colOff>
      <xdr:row>15</xdr:row>
      <xdr:rowOff>76200</xdr:rowOff>
    </xdr:from>
    <xdr:to>
      <xdr:col>5</xdr:col>
      <xdr:colOff>533401</xdr:colOff>
      <xdr:row>16</xdr:row>
      <xdr:rowOff>161925</xdr:rowOff>
    </xdr:to>
    <xdr:sp macro="" textlink="">
      <xdr:nvSpPr>
        <xdr:cNvPr id="57" name="Left Brace 56">
          <a:extLst>
            <a:ext uri="{FF2B5EF4-FFF2-40B4-BE49-F238E27FC236}">
              <a16:creationId xmlns:a16="http://schemas.microsoft.com/office/drawing/2014/main" id="{6FB3B0AB-802C-44D7-B4A3-00D9F4638285}"/>
            </a:ext>
          </a:extLst>
        </xdr:cNvPr>
        <xdr:cNvSpPr/>
      </xdr:nvSpPr>
      <xdr:spPr>
        <a:xfrm>
          <a:off x="3009901" y="2828925"/>
          <a:ext cx="114300" cy="276225"/>
        </a:xfrm>
        <a:prstGeom prst="leftBrace">
          <a:avLst/>
        </a:prstGeom>
        <a:ln w="1905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AU" sz="1100"/>
        </a:p>
      </xdr:txBody>
    </xdr:sp>
    <xdr:clientData/>
  </xdr:twoCellAnchor>
  <xdr:twoCellAnchor>
    <xdr:from>
      <xdr:col>5</xdr:col>
      <xdr:colOff>409576</xdr:colOff>
      <xdr:row>16</xdr:row>
      <xdr:rowOff>180976</xdr:rowOff>
    </xdr:from>
    <xdr:to>
      <xdr:col>5</xdr:col>
      <xdr:colOff>533401</xdr:colOff>
      <xdr:row>17</xdr:row>
      <xdr:rowOff>180976</xdr:rowOff>
    </xdr:to>
    <xdr:sp macro="" textlink="">
      <xdr:nvSpPr>
        <xdr:cNvPr id="67" name="Left Brace 66">
          <a:extLst>
            <a:ext uri="{FF2B5EF4-FFF2-40B4-BE49-F238E27FC236}">
              <a16:creationId xmlns:a16="http://schemas.microsoft.com/office/drawing/2014/main" id="{A1F35149-59D8-42AD-936F-C68C55564B4C}"/>
            </a:ext>
          </a:extLst>
        </xdr:cNvPr>
        <xdr:cNvSpPr/>
      </xdr:nvSpPr>
      <xdr:spPr>
        <a:xfrm>
          <a:off x="3000376" y="3124201"/>
          <a:ext cx="123825" cy="190500"/>
        </a:xfrm>
        <a:prstGeom prst="leftBrace">
          <a:avLst/>
        </a:prstGeom>
        <a:ln w="1905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AU" sz="1100"/>
        </a:p>
      </xdr:txBody>
    </xdr:sp>
    <xdr:clientData/>
  </xdr:twoCellAnchor>
  <xdr:twoCellAnchor>
    <xdr:from>
      <xdr:col>1</xdr:col>
      <xdr:colOff>28575</xdr:colOff>
      <xdr:row>18</xdr:row>
      <xdr:rowOff>38099</xdr:rowOff>
    </xdr:from>
    <xdr:to>
      <xdr:col>4</xdr:col>
      <xdr:colOff>575775</xdr:colOff>
      <xdr:row>24</xdr:row>
      <xdr:rowOff>57151</xdr:rowOff>
    </xdr:to>
    <xdr:grpSp>
      <xdr:nvGrpSpPr>
        <xdr:cNvPr id="21" name="Group 20">
          <a:extLst>
            <a:ext uri="{FF2B5EF4-FFF2-40B4-BE49-F238E27FC236}">
              <a16:creationId xmlns:a16="http://schemas.microsoft.com/office/drawing/2014/main" id="{A3310411-694C-47E0-ACFA-E770EE10089C}"/>
            </a:ext>
          </a:extLst>
        </xdr:cNvPr>
        <xdr:cNvGrpSpPr/>
      </xdr:nvGrpSpPr>
      <xdr:grpSpPr>
        <a:xfrm>
          <a:off x="180975" y="3362324"/>
          <a:ext cx="2376000" cy="1162052"/>
          <a:chOff x="295275" y="2295524"/>
          <a:chExt cx="2190749" cy="1162052"/>
        </a:xfrm>
      </xdr:grpSpPr>
      <xdr:sp macro="" textlink="">
        <xdr:nvSpPr>
          <xdr:cNvPr id="62" name="TextBox 61">
            <a:extLst>
              <a:ext uri="{FF2B5EF4-FFF2-40B4-BE49-F238E27FC236}">
                <a16:creationId xmlns:a16="http://schemas.microsoft.com/office/drawing/2014/main" id="{03FDAFE3-C7B6-485C-B056-E8E5A5966E36}"/>
              </a:ext>
            </a:extLst>
          </xdr:cNvPr>
          <xdr:cNvSpPr txBox="1"/>
        </xdr:nvSpPr>
        <xdr:spPr>
          <a:xfrm>
            <a:off x="295275" y="2295524"/>
            <a:ext cx="2190749" cy="1162052"/>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t">
            <a:noAutofit/>
          </a:bodyPr>
          <a:lstStyle/>
          <a:p>
            <a:r>
              <a:rPr lang="en-AU" sz="1000">
                <a:solidFill>
                  <a:schemeClr val="lt1"/>
                </a:solidFill>
                <a:effectLst/>
                <a:latin typeface="+mn-lt"/>
                <a:ea typeface="+mn-ea"/>
                <a:cs typeface="+mn-cs"/>
              </a:rPr>
              <a:t>5. </a:t>
            </a:r>
            <a:r>
              <a:rPr lang="en-AU" sz="1000" baseline="0">
                <a:solidFill>
                  <a:schemeClr val="lt1"/>
                </a:solidFill>
                <a:effectLst/>
                <a:latin typeface="+mn-lt"/>
                <a:ea typeface="+mn-ea"/>
                <a:cs typeface="+mn-cs"/>
              </a:rPr>
              <a:t>Select what flow rate to use from list:</a:t>
            </a:r>
          </a:p>
          <a:p>
            <a:r>
              <a:rPr lang="en-AU" sz="1000" b="0" i="0" u="none" strike="noStrike">
                <a:solidFill>
                  <a:schemeClr val="lt1"/>
                </a:solidFill>
                <a:effectLst/>
                <a:latin typeface="+mn-lt"/>
                <a:ea typeface="+mn-ea"/>
                <a:cs typeface="+mn-cs"/>
              </a:rPr>
              <a:t>~</a:t>
            </a:r>
            <a:r>
              <a:rPr lang="en-AU" sz="1000" b="0" i="0" u="none" strike="noStrike" baseline="0">
                <a:solidFill>
                  <a:schemeClr val="lt1"/>
                </a:solidFill>
                <a:effectLst/>
                <a:latin typeface="+mn-lt"/>
                <a:ea typeface="+mn-ea"/>
                <a:cs typeface="+mn-cs"/>
              </a:rPr>
              <a:t> '</a:t>
            </a:r>
            <a:r>
              <a:rPr lang="en-AU" sz="1000" b="0" i="0" u="none" strike="noStrike">
                <a:solidFill>
                  <a:schemeClr val="lt1"/>
                </a:solidFill>
                <a:effectLst/>
                <a:latin typeface="+mn-lt"/>
                <a:ea typeface="+mn-ea"/>
                <a:cs typeface="+mn-cs"/>
              </a:rPr>
              <a:t>Flow rate from data above' - calculated</a:t>
            </a:r>
            <a:endParaRPr lang="en-AU" sz="1000"/>
          </a:p>
          <a:p>
            <a:r>
              <a:rPr lang="en-AU" sz="1000" b="0" i="0" u="none" strike="noStrike">
                <a:solidFill>
                  <a:schemeClr val="lt1"/>
                </a:solidFill>
                <a:effectLst/>
                <a:latin typeface="+mn-lt"/>
                <a:ea typeface="+mn-ea"/>
                <a:cs typeface="+mn-cs"/>
              </a:rPr>
              <a:t>~ 'Flow rate from gun pressure'</a:t>
            </a:r>
            <a:r>
              <a:rPr lang="en-AU" sz="1000"/>
              <a:t>  - estimated</a:t>
            </a:r>
          </a:p>
          <a:p>
            <a:endParaRPr lang="en-AU" sz="800"/>
          </a:p>
          <a:p>
            <a:endParaRPr lang="en-AU" sz="1000">
              <a:solidFill>
                <a:schemeClr val="bg1">
                  <a:lumMod val="95000"/>
                </a:schemeClr>
              </a:solidFill>
              <a:effectLst/>
            </a:endParaRPr>
          </a:p>
          <a:p>
            <a:r>
              <a:rPr lang="en-AU" sz="1000">
                <a:solidFill>
                  <a:schemeClr val="bg1">
                    <a:lumMod val="95000"/>
                  </a:schemeClr>
                </a:solidFill>
                <a:effectLst/>
              </a:rPr>
              <a:t>Or enter</a:t>
            </a:r>
            <a:r>
              <a:rPr lang="en-AU" sz="1000" baseline="0">
                <a:solidFill>
                  <a:schemeClr val="bg1">
                    <a:lumMod val="95000"/>
                  </a:schemeClr>
                </a:solidFill>
                <a:effectLst/>
              </a:rPr>
              <a:t> your own flow rate in the blue box and select units</a:t>
            </a:r>
            <a:endParaRPr lang="en-AU" sz="1000">
              <a:solidFill>
                <a:schemeClr val="bg1">
                  <a:lumMod val="95000"/>
                </a:schemeClr>
              </a:solidFill>
              <a:effectLst/>
            </a:endParaRPr>
          </a:p>
        </xdr:txBody>
      </xdr:sp>
      <xdr:sp macro="" textlink="">
        <xdr:nvSpPr>
          <xdr:cNvPr id="77" name="TextBox 76">
            <a:extLst>
              <a:ext uri="{FF2B5EF4-FFF2-40B4-BE49-F238E27FC236}">
                <a16:creationId xmlns:a16="http://schemas.microsoft.com/office/drawing/2014/main" id="{C31002B6-10E4-4727-972F-CB84A84B8CA7}"/>
              </a:ext>
            </a:extLst>
          </xdr:cNvPr>
          <xdr:cNvSpPr txBox="1"/>
        </xdr:nvSpPr>
        <xdr:spPr>
          <a:xfrm>
            <a:off x="383228" y="2847975"/>
            <a:ext cx="1962150" cy="209549"/>
          </a:xfrm>
          <a:prstGeom prst="rect">
            <a:avLst/>
          </a:prstGeom>
          <a:solidFill>
            <a:schemeClr val="accent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r>
              <a:rPr lang="en-AU" sz="900" baseline="0">
                <a:solidFill>
                  <a:srgbClr val="FF0000"/>
                </a:solidFill>
                <a:effectLst/>
                <a:latin typeface="+mn-lt"/>
                <a:ea typeface="+mn-ea"/>
                <a:cs typeface="+mn-cs"/>
              </a:rPr>
              <a:t>Output: flow rate (ML/day)</a:t>
            </a:r>
            <a:endParaRPr lang="en-AU" sz="900">
              <a:solidFill>
                <a:srgbClr val="FF0000"/>
              </a:solidFill>
              <a:effectLst/>
            </a:endParaRPr>
          </a:p>
        </xdr:txBody>
      </xdr:sp>
    </xdr:grpSp>
    <xdr:clientData/>
  </xdr:twoCellAnchor>
  <xdr:twoCellAnchor>
    <xdr:from>
      <xdr:col>1</xdr:col>
      <xdr:colOff>28575</xdr:colOff>
      <xdr:row>10</xdr:row>
      <xdr:rowOff>95249</xdr:rowOff>
    </xdr:from>
    <xdr:to>
      <xdr:col>4</xdr:col>
      <xdr:colOff>575775</xdr:colOff>
      <xdr:row>14</xdr:row>
      <xdr:rowOff>104774</xdr:rowOff>
    </xdr:to>
    <xdr:grpSp>
      <xdr:nvGrpSpPr>
        <xdr:cNvPr id="22" name="Group 21">
          <a:extLst>
            <a:ext uri="{FF2B5EF4-FFF2-40B4-BE49-F238E27FC236}">
              <a16:creationId xmlns:a16="http://schemas.microsoft.com/office/drawing/2014/main" id="{48AF65E5-69C6-4373-B6B1-D418EAFA41AB}"/>
            </a:ext>
          </a:extLst>
        </xdr:cNvPr>
        <xdr:cNvGrpSpPr/>
      </xdr:nvGrpSpPr>
      <xdr:grpSpPr>
        <a:xfrm>
          <a:off x="180975" y="1895474"/>
          <a:ext cx="2376000" cy="771525"/>
          <a:chOff x="180975" y="1895474"/>
          <a:chExt cx="2209800" cy="771525"/>
        </a:xfrm>
      </xdr:grpSpPr>
      <xdr:sp macro="" textlink="">
        <xdr:nvSpPr>
          <xdr:cNvPr id="7" name="TextBox 6">
            <a:extLst>
              <a:ext uri="{FF2B5EF4-FFF2-40B4-BE49-F238E27FC236}">
                <a16:creationId xmlns:a16="http://schemas.microsoft.com/office/drawing/2014/main" id="{BB706B4F-1851-4C0B-BF85-04DA0748EAD0}"/>
              </a:ext>
            </a:extLst>
          </xdr:cNvPr>
          <xdr:cNvSpPr txBox="1"/>
        </xdr:nvSpPr>
        <xdr:spPr>
          <a:xfrm>
            <a:off x="180975" y="1895474"/>
            <a:ext cx="2209800" cy="7715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t">
            <a:noAutofit/>
          </a:bodyPr>
          <a:lstStyle/>
          <a:p>
            <a:r>
              <a:rPr lang="en-AU" sz="1000">
                <a:solidFill>
                  <a:schemeClr val="lt1"/>
                </a:solidFill>
                <a:effectLst/>
                <a:latin typeface="+mn-lt"/>
                <a:ea typeface="+mn-ea"/>
                <a:cs typeface="+mn-cs"/>
              </a:rPr>
              <a:t>3. </a:t>
            </a:r>
          </a:p>
          <a:p>
            <a:endParaRPr lang="en-AU" sz="1000" baseline="0">
              <a:solidFill>
                <a:schemeClr val="lt1"/>
              </a:solidFill>
              <a:effectLst/>
              <a:latin typeface="+mn-lt"/>
              <a:ea typeface="+mn-ea"/>
              <a:cs typeface="+mn-cs"/>
            </a:endParaRPr>
          </a:p>
          <a:p>
            <a:r>
              <a:rPr lang="en-AU" sz="1000" baseline="0">
                <a:solidFill>
                  <a:schemeClr val="lt1"/>
                </a:solidFill>
                <a:effectLst/>
                <a:latin typeface="+mn-lt"/>
                <a:ea typeface="+mn-ea"/>
                <a:cs typeface="+mn-cs"/>
              </a:rPr>
              <a:t>Or enter your own energy unit cost in the blue box</a:t>
            </a:r>
            <a:endParaRPr lang="en-AU" sz="1000">
              <a:solidFill>
                <a:schemeClr val="bg1">
                  <a:lumMod val="95000"/>
                </a:schemeClr>
              </a:solidFill>
              <a:effectLst/>
            </a:endParaRPr>
          </a:p>
        </xdr:txBody>
      </xdr:sp>
      <xdr:sp macro="" textlink="">
        <xdr:nvSpPr>
          <xdr:cNvPr id="80" name="TextBox 79">
            <a:extLst>
              <a:ext uri="{FF2B5EF4-FFF2-40B4-BE49-F238E27FC236}">
                <a16:creationId xmlns:a16="http://schemas.microsoft.com/office/drawing/2014/main" id="{97FA18F0-2DED-40B5-BFC4-D3A1AEF9850B}"/>
              </a:ext>
            </a:extLst>
          </xdr:cNvPr>
          <xdr:cNvSpPr txBox="1"/>
        </xdr:nvSpPr>
        <xdr:spPr>
          <a:xfrm>
            <a:off x="342901" y="1952625"/>
            <a:ext cx="1924050" cy="304800"/>
          </a:xfrm>
          <a:prstGeom prst="rect">
            <a:avLst/>
          </a:prstGeom>
          <a:solidFill>
            <a:schemeClr val="accent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0" rIns="36000" bIns="0" rtlCol="0" anchor="ctr">
            <a:noAutofit/>
          </a:bodyPr>
          <a:lstStyle/>
          <a:p>
            <a:r>
              <a:rPr lang="en-AU" sz="900" baseline="0">
                <a:solidFill>
                  <a:srgbClr val="FF0000"/>
                </a:solidFill>
                <a:effectLst/>
                <a:latin typeface="+mn-lt"/>
                <a:ea typeface="+mn-ea"/>
                <a:cs typeface="+mn-cs"/>
              </a:rPr>
              <a:t>Output: Energy unit costs is calculated from step 1</a:t>
            </a:r>
            <a:endParaRPr lang="en-AU" sz="900">
              <a:solidFill>
                <a:srgbClr val="FF0000"/>
              </a:solidFill>
              <a:effectLst/>
            </a:endParaRPr>
          </a:p>
        </xdr:txBody>
      </xdr:sp>
    </xdr:grpSp>
    <xdr:clientData/>
  </xdr:twoCellAnchor>
  <xdr:twoCellAnchor>
    <xdr:from>
      <xdr:col>1</xdr:col>
      <xdr:colOff>28575</xdr:colOff>
      <xdr:row>24</xdr:row>
      <xdr:rowOff>152400</xdr:rowOff>
    </xdr:from>
    <xdr:to>
      <xdr:col>4</xdr:col>
      <xdr:colOff>575775</xdr:colOff>
      <xdr:row>28</xdr:row>
      <xdr:rowOff>9526</xdr:rowOff>
    </xdr:to>
    <xdr:grpSp>
      <xdr:nvGrpSpPr>
        <xdr:cNvPr id="23" name="Group 22">
          <a:extLst>
            <a:ext uri="{FF2B5EF4-FFF2-40B4-BE49-F238E27FC236}">
              <a16:creationId xmlns:a16="http://schemas.microsoft.com/office/drawing/2014/main" id="{B2544C09-B654-4E3B-A538-9BCA22959632}"/>
            </a:ext>
          </a:extLst>
        </xdr:cNvPr>
        <xdr:cNvGrpSpPr/>
      </xdr:nvGrpSpPr>
      <xdr:grpSpPr>
        <a:xfrm>
          <a:off x="180975" y="4619625"/>
          <a:ext cx="2376000" cy="619126"/>
          <a:chOff x="209550" y="4248150"/>
          <a:chExt cx="2209800" cy="619126"/>
        </a:xfrm>
      </xdr:grpSpPr>
      <xdr:sp macro="" textlink="">
        <xdr:nvSpPr>
          <xdr:cNvPr id="82" name="TextBox 81">
            <a:extLst>
              <a:ext uri="{FF2B5EF4-FFF2-40B4-BE49-F238E27FC236}">
                <a16:creationId xmlns:a16="http://schemas.microsoft.com/office/drawing/2014/main" id="{C3960634-7F04-4A5F-83ED-4988D5913FAE}"/>
              </a:ext>
            </a:extLst>
          </xdr:cNvPr>
          <xdr:cNvSpPr txBox="1"/>
        </xdr:nvSpPr>
        <xdr:spPr>
          <a:xfrm>
            <a:off x="209550" y="4248150"/>
            <a:ext cx="2209800" cy="619126"/>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t">
            <a:noAutofit/>
          </a:bodyPr>
          <a:lstStyle/>
          <a:p>
            <a:r>
              <a:rPr lang="en-AU" sz="1000">
                <a:solidFill>
                  <a:schemeClr val="lt1"/>
                </a:solidFill>
                <a:effectLst/>
                <a:latin typeface="+mn-lt"/>
                <a:ea typeface="+mn-ea"/>
                <a:cs typeface="+mn-cs"/>
              </a:rPr>
              <a:t>6. </a:t>
            </a:r>
          </a:p>
          <a:p>
            <a:endParaRPr lang="en-AU" sz="1000" baseline="0">
              <a:solidFill>
                <a:schemeClr val="lt1"/>
              </a:solidFill>
              <a:effectLst/>
              <a:latin typeface="+mn-lt"/>
              <a:ea typeface="+mn-ea"/>
              <a:cs typeface="+mn-cs"/>
            </a:endParaRPr>
          </a:p>
          <a:p>
            <a:r>
              <a:rPr lang="en-AU" sz="1000" baseline="0">
                <a:solidFill>
                  <a:schemeClr val="lt1"/>
                </a:solidFill>
                <a:effectLst/>
                <a:latin typeface="+mn-lt"/>
                <a:ea typeface="+mn-ea"/>
                <a:cs typeface="+mn-cs"/>
              </a:rPr>
              <a:t>Or enter your own water use in the blue box</a:t>
            </a:r>
            <a:endParaRPr lang="en-AU" sz="1000">
              <a:solidFill>
                <a:schemeClr val="bg1">
                  <a:lumMod val="95000"/>
                </a:schemeClr>
              </a:solidFill>
              <a:effectLst/>
            </a:endParaRPr>
          </a:p>
        </xdr:txBody>
      </xdr:sp>
      <xdr:sp macro="" textlink="">
        <xdr:nvSpPr>
          <xdr:cNvPr id="83" name="TextBox 82">
            <a:extLst>
              <a:ext uri="{FF2B5EF4-FFF2-40B4-BE49-F238E27FC236}">
                <a16:creationId xmlns:a16="http://schemas.microsoft.com/office/drawing/2014/main" id="{FA6A34DB-EDC6-47F7-B140-395A3A251479}"/>
              </a:ext>
            </a:extLst>
          </xdr:cNvPr>
          <xdr:cNvSpPr txBox="1"/>
        </xdr:nvSpPr>
        <xdr:spPr>
          <a:xfrm>
            <a:off x="331180" y="4286250"/>
            <a:ext cx="1924050" cy="304800"/>
          </a:xfrm>
          <a:prstGeom prst="rect">
            <a:avLst/>
          </a:prstGeom>
          <a:solidFill>
            <a:schemeClr val="accent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0" rIns="36000" bIns="0" rtlCol="0" anchor="ctr">
            <a:noAutofit/>
          </a:bodyPr>
          <a:lstStyle/>
          <a:p>
            <a:r>
              <a:rPr lang="en-AU" sz="900" baseline="0">
                <a:solidFill>
                  <a:srgbClr val="FF0000"/>
                </a:solidFill>
                <a:effectLst/>
                <a:latin typeface="+mn-lt"/>
                <a:ea typeface="+mn-ea"/>
                <a:cs typeface="+mn-cs"/>
              </a:rPr>
              <a:t>Output: Annual water use is calculated from step 1 (ML/year)</a:t>
            </a:r>
            <a:endParaRPr lang="en-AU" sz="900">
              <a:solidFill>
                <a:srgbClr val="FF0000"/>
              </a:solidFill>
              <a:effectLst/>
            </a:endParaRPr>
          </a:p>
        </xdr:txBody>
      </xdr:sp>
    </xdr:grpSp>
    <xdr:clientData/>
  </xdr:twoCellAnchor>
  <xdr:twoCellAnchor>
    <xdr:from>
      <xdr:col>4</xdr:col>
      <xdr:colOff>575775</xdr:colOff>
      <xdr:row>18</xdr:row>
      <xdr:rowOff>114301</xdr:rowOff>
    </xdr:from>
    <xdr:to>
      <xdr:col>5</xdr:col>
      <xdr:colOff>409576</xdr:colOff>
      <xdr:row>26</xdr:row>
      <xdr:rowOff>80963</xdr:rowOff>
    </xdr:to>
    <xdr:cxnSp macro="">
      <xdr:nvCxnSpPr>
        <xdr:cNvPr id="85" name="Straight Arrow Connector 84">
          <a:extLst>
            <a:ext uri="{FF2B5EF4-FFF2-40B4-BE49-F238E27FC236}">
              <a16:creationId xmlns:a16="http://schemas.microsoft.com/office/drawing/2014/main" id="{7B05D3A8-1524-4CA1-B699-DCB491AA30EB}"/>
            </a:ext>
          </a:extLst>
        </xdr:cNvPr>
        <xdr:cNvCxnSpPr>
          <a:stCxn id="82" idx="3"/>
          <a:endCxn id="99" idx="1"/>
        </xdr:cNvCxnSpPr>
      </xdr:nvCxnSpPr>
      <xdr:spPr>
        <a:xfrm flipV="1">
          <a:off x="2556975" y="3438526"/>
          <a:ext cx="443401" cy="149066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47625</xdr:colOff>
      <xdr:row>28</xdr:row>
      <xdr:rowOff>95249</xdr:rowOff>
    </xdr:from>
    <xdr:to>
      <xdr:col>4</xdr:col>
      <xdr:colOff>594825</xdr:colOff>
      <xdr:row>33</xdr:row>
      <xdr:rowOff>95250</xdr:rowOff>
    </xdr:to>
    <xdr:grpSp>
      <xdr:nvGrpSpPr>
        <xdr:cNvPr id="24" name="Group 23">
          <a:extLst>
            <a:ext uri="{FF2B5EF4-FFF2-40B4-BE49-F238E27FC236}">
              <a16:creationId xmlns:a16="http://schemas.microsoft.com/office/drawing/2014/main" id="{9E3477A7-EA1E-4650-B536-4AD7A3F79D86}"/>
            </a:ext>
          </a:extLst>
        </xdr:cNvPr>
        <xdr:cNvGrpSpPr/>
      </xdr:nvGrpSpPr>
      <xdr:grpSpPr>
        <a:xfrm>
          <a:off x="200025" y="5324474"/>
          <a:ext cx="2376000" cy="952501"/>
          <a:chOff x="219074" y="5381624"/>
          <a:chExt cx="2219325" cy="962026"/>
        </a:xfrm>
      </xdr:grpSpPr>
      <xdr:sp macro="" textlink="">
        <xdr:nvSpPr>
          <xdr:cNvPr id="93" name="TextBox 92">
            <a:extLst>
              <a:ext uri="{FF2B5EF4-FFF2-40B4-BE49-F238E27FC236}">
                <a16:creationId xmlns:a16="http://schemas.microsoft.com/office/drawing/2014/main" id="{5FAA2EEF-AED6-4BF8-ABE9-1303AC30279C}"/>
              </a:ext>
            </a:extLst>
          </xdr:cNvPr>
          <xdr:cNvSpPr txBox="1"/>
        </xdr:nvSpPr>
        <xdr:spPr>
          <a:xfrm>
            <a:off x="219074" y="5381624"/>
            <a:ext cx="2219325" cy="962026"/>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t">
            <a:noAutofit/>
          </a:bodyPr>
          <a:lstStyle/>
          <a:p>
            <a:r>
              <a:rPr lang="en-AU" sz="1000">
                <a:solidFill>
                  <a:schemeClr val="lt1"/>
                </a:solidFill>
                <a:effectLst/>
                <a:latin typeface="+mn-lt"/>
                <a:ea typeface="+mn-ea"/>
                <a:cs typeface="+mn-cs"/>
              </a:rPr>
              <a:t>7. Input motor size</a:t>
            </a:r>
            <a:r>
              <a:rPr lang="en-AU" sz="1000" baseline="0">
                <a:solidFill>
                  <a:schemeClr val="lt1"/>
                </a:solidFill>
                <a:effectLst/>
                <a:latin typeface="+mn-lt"/>
                <a:ea typeface="+mn-ea"/>
                <a:cs typeface="+mn-cs"/>
              </a:rPr>
              <a:t> from name plate (kW)</a:t>
            </a:r>
          </a:p>
          <a:p>
            <a:pPr marL="0" marR="0" lvl="0" indent="0" defTabSz="914400" eaLnBrk="1" fontAlgn="auto" latinLnBrk="0" hangingPunct="1">
              <a:lnSpc>
                <a:spcPct val="100000"/>
              </a:lnSpc>
              <a:spcBef>
                <a:spcPts val="0"/>
              </a:spcBef>
              <a:spcAft>
                <a:spcPts val="0"/>
              </a:spcAft>
              <a:buClrTx/>
              <a:buSzTx/>
              <a:buFontTx/>
              <a:buNone/>
              <a:tabLst/>
              <a:defRPr/>
            </a:pPr>
            <a:r>
              <a:rPr lang="en-AU" sz="1000" baseline="0">
                <a:solidFill>
                  <a:schemeClr val="lt1"/>
                </a:solidFill>
                <a:effectLst/>
                <a:latin typeface="+mn-lt"/>
                <a:ea typeface="+mn-ea"/>
                <a:cs typeface="+mn-cs"/>
              </a:rPr>
              <a:t>8. </a:t>
            </a:r>
            <a:r>
              <a:rPr lang="en-AU" sz="1000">
                <a:solidFill>
                  <a:schemeClr val="lt1"/>
                </a:solidFill>
                <a:effectLst/>
                <a:latin typeface="+mn-lt"/>
                <a:ea typeface="+mn-ea"/>
                <a:cs typeface="+mn-cs"/>
              </a:rPr>
              <a:t>Input motor efficiency</a:t>
            </a:r>
            <a:r>
              <a:rPr lang="en-AU" sz="1000" baseline="0">
                <a:solidFill>
                  <a:schemeClr val="lt1"/>
                </a:solidFill>
                <a:effectLst/>
                <a:latin typeface="+mn-lt"/>
                <a:ea typeface="+mn-ea"/>
                <a:cs typeface="+mn-cs"/>
              </a:rPr>
              <a:t> from name plate (%)</a:t>
            </a:r>
          </a:p>
          <a:p>
            <a:pPr marL="0" marR="0" lvl="0" indent="0" defTabSz="914400" eaLnBrk="1" fontAlgn="auto" latinLnBrk="0" hangingPunct="1">
              <a:lnSpc>
                <a:spcPct val="100000"/>
              </a:lnSpc>
              <a:spcBef>
                <a:spcPts val="0"/>
              </a:spcBef>
              <a:spcAft>
                <a:spcPts val="0"/>
              </a:spcAft>
              <a:buClrTx/>
              <a:buSzTx/>
              <a:buFontTx/>
              <a:buNone/>
              <a:tabLst/>
              <a:defRPr/>
            </a:pPr>
            <a:endParaRPr lang="en-AU" sz="1000">
              <a:effectLst/>
            </a:endParaRPr>
          </a:p>
          <a:p>
            <a:endParaRPr lang="en-AU" sz="1000" baseline="0">
              <a:solidFill>
                <a:schemeClr val="lt1"/>
              </a:solidFill>
              <a:effectLst/>
              <a:latin typeface="+mn-lt"/>
              <a:ea typeface="+mn-ea"/>
              <a:cs typeface="+mn-cs"/>
            </a:endParaRPr>
          </a:p>
        </xdr:txBody>
      </xdr:sp>
      <xdr:sp macro="" textlink="">
        <xdr:nvSpPr>
          <xdr:cNvPr id="94" name="TextBox 93">
            <a:extLst>
              <a:ext uri="{FF2B5EF4-FFF2-40B4-BE49-F238E27FC236}">
                <a16:creationId xmlns:a16="http://schemas.microsoft.com/office/drawing/2014/main" id="{A5F4549A-5753-411A-A979-95AC7ED7A3BC}"/>
              </a:ext>
            </a:extLst>
          </xdr:cNvPr>
          <xdr:cNvSpPr txBox="1"/>
        </xdr:nvSpPr>
        <xdr:spPr>
          <a:xfrm>
            <a:off x="391152" y="5915024"/>
            <a:ext cx="1924050" cy="304800"/>
          </a:xfrm>
          <a:prstGeom prst="rect">
            <a:avLst/>
          </a:prstGeom>
          <a:solidFill>
            <a:schemeClr val="accent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0" rIns="36000" bIns="0" rtlCol="0" anchor="ctr">
            <a:noAutofit/>
          </a:bodyPr>
          <a:lstStyle/>
          <a:p>
            <a:r>
              <a:rPr lang="en-AU" sz="900" baseline="0">
                <a:solidFill>
                  <a:srgbClr val="FF0000"/>
                </a:solidFill>
                <a:effectLst/>
                <a:latin typeface="+mn-lt"/>
                <a:ea typeface="+mn-ea"/>
                <a:cs typeface="+mn-cs"/>
              </a:rPr>
              <a:t>Output: Motor load is calculated from energy use and motor size (%)</a:t>
            </a:r>
            <a:endParaRPr lang="en-AU" sz="900">
              <a:solidFill>
                <a:srgbClr val="FF0000"/>
              </a:solidFill>
              <a:effectLst/>
            </a:endParaRPr>
          </a:p>
        </xdr:txBody>
      </xdr:sp>
    </xdr:grpSp>
    <xdr:clientData/>
  </xdr:twoCellAnchor>
  <xdr:twoCellAnchor>
    <xdr:from>
      <xdr:col>5</xdr:col>
      <xdr:colOff>409576</xdr:colOff>
      <xdr:row>13</xdr:row>
      <xdr:rowOff>57151</xdr:rowOff>
    </xdr:from>
    <xdr:to>
      <xdr:col>5</xdr:col>
      <xdr:colOff>533401</xdr:colOff>
      <xdr:row>14</xdr:row>
      <xdr:rowOff>57151</xdr:rowOff>
    </xdr:to>
    <xdr:sp macro="" textlink="">
      <xdr:nvSpPr>
        <xdr:cNvPr id="98" name="Left Brace 97">
          <a:extLst>
            <a:ext uri="{FF2B5EF4-FFF2-40B4-BE49-F238E27FC236}">
              <a16:creationId xmlns:a16="http://schemas.microsoft.com/office/drawing/2014/main" id="{36065839-0EA8-47A4-A6FC-F6E8B16468BC}"/>
            </a:ext>
          </a:extLst>
        </xdr:cNvPr>
        <xdr:cNvSpPr/>
      </xdr:nvSpPr>
      <xdr:spPr>
        <a:xfrm>
          <a:off x="3000376" y="2428876"/>
          <a:ext cx="123825" cy="190500"/>
        </a:xfrm>
        <a:prstGeom prst="leftBrace">
          <a:avLst/>
        </a:prstGeom>
        <a:ln w="1905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AU" sz="1100"/>
        </a:p>
      </xdr:txBody>
    </xdr:sp>
    <xdr:clientData/>
  </xdr:twoCellAnchor>
  <xdr:twoCellAnchor>
    <xdr:from>
      <xdr:col>5</xdr:col>
      <xdr:colOff>409576</xdr:colOff>
      <xdr:row>18</xdr:row>
      <xdr:rowOff>19051</xdr:rowOff>
    </xdr:from>
    <xdr:to>
      <xdr:col>5</xdr:col>
      <xdr:colOff>533401</xdr:colOff>
      <xdr:row>19</xdr:row>
      <xdr:rowOff>19051</xdr:rowOff>
    </xdr:to>
    <xdr:sp macro="" textlink="">
      <xdr:nvSpPr>
        <xdr:cNvPr id="99" name="Left Brace 98">
          <a:extLst>
            <a:ext uri="{FF2B5EF4-FFF2-40B4-BE49-F238E27FC236}">
              <a16:creationId xmlns:a16="http://schemas.microsoft.com/office/drawing/2014/main" id="{EF90C631-D677-40C5-B2D5-F6E0FD0B1245}"/>
            </a:ext>
          </a:extLst>
        </xdr:cNvPr>
        <xdr:cNvSpPr/>
      </xdr:nvSpPr>
      <xdr:spPr>
        <a:xfrm>
          <a:off x="3000376" y="3343276"/>
          <a:ext cx="123825" cy="190500"/>
        </a:xfrm>
        <a:prstGeom prst="leftBrace">
          <a:avLst/>
        </a:prstGeom>
        <a:ln w="1905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AU" sz="1100"/>
        </a:p>
      </xdr:txBody>
    </xdr:sp>
    <xdr:clientData/>
  </xdr:twoCellAnchor>
  <xdr:twoCellAnchor>
    <xdr:from>
      <xdr:col>5</xdr:col>
      <xdr:colOff>409576</xdr:colOff>
      <xdr:row>20</xdr:row>
      <xdr:rowOff>47626</xdr:rowOff>
    </xdr:from>
    <xdr:to>
      <xdr:col>5</xdr:col>
      <xdr:colOff>542925</xdr:colOff>
      <xdr:row>22</xdr:row>
      <xdr:rowOff>38100</xdr:rowOff>
    </xdr:to>
    <xdr:sp macro="" textlink="">
      <xdr:nvSpPr>
        <xdr:cNvPr id="100" name="Left Brace 99">
          <a:extLst>
            <a:ext uri="{FF2B5EF4-FFF2-40B4-BE49-F238E27FC236}">
              <a16:creationId xmlns:a16="http://schemas.microsoft.com/office/drawing/2014/main" id="{EA57D388-4565-49E2-A75E-77C209603FEB}"/>
            </a:ext>
          </a:extLst>
        </xdr:cNvPr>
        <xdr:cNvSpPr/>
      </xdr:nvSpPr>
      <xdr:spPr>
        <a:xfrm>
          <a:off x="3000376" y="3752851"/>
          <a:ext cx="133349" cy="371474"/>
        </a:xfrm>
        <a:prstGeom prst="leftBrace">
          <a:avLst/>
        </a:prstGeom>
        <a:ln w="1905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AU" sz="1100"/>
        </a:p>
      </xdr:txBody>
    </xdr:sp>
    <xdr:clientData/>
  </xdr:twoCellAnchor>
  <xdr:twoCellAnchor>
    <xdr:from>
      <xdr:col>4</xdr:col>
      <xdr:colOff>594825</xdr:colOff>
      <xdr:row>21</xdr:row>
      <xdr:rowOff>42863</xdr:rowOff>
    </xdr:from>
    <xdr:to>
      <xdr:col>5</xdr:col>
      <xdr:colOff>409576</xdr:colOff>
      <xdr:row>31</xdr:row>
      <xdr:rowOff>0</xdr:rowOff>
    </xdr:to>
    <xdr:cxnSp macro="">
      <xdr:nvCxnSpPr>
        <xdr:cNvPr id="103" name="Straight Arrow Connector 102">
          <a:extLst>
            <a:ext uri="{FF2B5EF4-FFF2-40B4-BE49-F238E27FC236}">
              <a16:creationId xmlns:a16="http://schemas.microsoft.com/office/drawing/2014/main" id="{CC01E726-20CA-4A61-BD9A-64F5BAB5F3B3}"/>
            </a:ext>
          </a:extLst>
        </xdr:cNvPr>
        <xdr:cNvCxnSpPr>
          <a:stCxn id="93" idx="3"/>
          <a:endCxn id="100" idx="1"/>
        </xdr:cNvCxnSpPr>
      </xdr:nvCxnSpPr>
      <xdr:spPr>
        <a:xfrm flipV="1">
          <a:off x="2576025" y="3938588"/>
          <a:ext cx="424351" cy="18621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13</xdr:col>
      <xdr:colOff>142875</xdr:colOff>
      <xdr:row>2</xdr:row>
      <xdr:rowOff>133351</xdr:rowOff>
    </xdr:from>
    <xdr:ext cx="2524125" cy="590550"/>
    <xdr:sp macro="" textlink="">
      <xdr:nvSpPr>
        <xdr:cNvPr id="106" name="TextBox 105">
          <a:extLst>
            <a:ext uri="{FF2B5EF4-FFF2-40B4-BE49-F238E27FC236}">
              <a16:creationId xmlns:a16="http://schemas.microsoft.com/office/drawing/2014/main" id="{9FBCEFF1-5EFD-4729-8AC1-919CEC5A374B}"/>
            </a:ext>
          </a:extLst>
        </xdr:cNvPr>
        <xdr:cNvSpPr txBox="1"/>
      </xdr:nvSpPr>
      <xdr:spPr>
        <a:xfrm>
          <a:off x="7610475" y="409576"/>
          <a:ext cx="2524125" cy="5905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t">
          <a:noAutofit/>
        </a:bodyPr>
        <a:lstStyle/>
        <a:p>
          <a:r>
            <a:rPr lang="en-AU" sz="1000">
              <a:solidFill>
                <a:schemeClr val="bg1">
                  <a:lumMod val="95000"/>
                </a:schemeClr>
              </a:solidFill>
              <a:effectLst/>
              <a:latin typeface="+mn-lt"/>
              <a:ea typeface="+mn-ea"/>
              <a:cs typeface="+mn-cs"/>
            </a:rPr>
            <a:t>10.</a:t>
          </a:r>
          <a:r>
            <a:rPr lang="en-AU" sz="1000" baseline="0">
              <a:solidFill>
                <a:schemeClr val="bg1">
                  <a:lumMod val="95000"/>
                </a:schemeClr>
              </a:solidFill>
              <a:effectLst/>
              <a:latin typeface="+mn-lt"/>
              <a:ea typeface="+mn-ea"/>
              <a:cs typeface="+mn-cs"/>
            </a:rPr>
            <a:t> Enter pressures measured at designated positions on irrigation system and select units</a:t>
          </a:r>
        </a:p>
      </xdr:txBody>
    </xdr:sp>
    <xdr:clientData/>
  </xdr:oneCellAnchor>
  <xdr:oneCellAnchor>
    <xdr:from>
      <xdr:col>7</xdr:col>
      <xdr:colOff>590550</xdr:colOff>
      <xdr:row>2</xdr:row>
      <xdr:rowOff>123824</xdr:rowOff>
    </xdr:from>
    <xdr:ext cx="2990850" cy="895351"/>
    <xdr:sp macro="" textlink="">
      <xdr:nvSpPr>
        <xdr:cNvPr id="107" name="TextBox 106">
          <a:extLst>
            <a:ext uri="{FF2B5EF4-FFF2-40B4-BE49-F238E27FC236}">
              <a16:creationId xmlns:a16="http://schemas.microsoft.com/office/drawing/2014/main" id="{3C2137DB-F183-4904-B545-686C04E2B0E7}"/>
            </a:ext>
          </a:extLst>
        </xdr:cNvPr>
        <xdr:cNvSpPr txBox="1"/>
      </xdr:nvSpPr>
      <xdr:spPr>
        <a:xfrm>
          <a:off x="4408170" y="390524"/>
          <a:ext cx="2990850" cy="89535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t">
          <a:noAutofit/>
        </a:bodyPr>
        <a:lstStyle/>
        <a:p>
          <a:r>
            <a:rPr lang="en-AU" sz="1000" baseline="0">
              <a:solidFill>
                <a:schemeClr val="bg1">
                  <a:lumMod val="95000"/>
                </a:schemeClr>
              </a:solidFill>
              <a:effectLst/>
              <a:latin typeface="+mn-lt"/>
              <a:ea typeface="+mn-ea"/>
              <a:cs typeface="+mn-cs"/>
            </a:rPr>
            <a:t>9. Enter an estimate of static head or height difference: </a:t>
          </a:r>
        </a:p>
        <a:p>
          <a:r>
            <a:rPr lang="en-AU" sz="1000" baseline="0">
              <a:solidFill>
                <a:schemeClr val="bg1">
                  <a:lumMod val="95000"/>
                </a:schemeClr>
              </a:solidFill>
              <a:effectLst/>
              <a:latin typeface="+mn-lt"/>
              <a:ea typeface="+mn-ea"/>
              <a:cs typeface="+mn-cs"/>
            </a:rPr>
            <a:t>~Suction lift (for bores this is depth to ground water from the centre of the pump)</a:t>
          </a:r>
        </a:p>
        <a:p>
          <a:r>
            <a:rPr lang="en-AU" sz="1000" baseline="0">
              <a:solidFill>
                <a:schemeClr val="bg1">
                  <a:lumMod val="95000"/>
                </a:schemeClr>
              </a:solidFill>
              <a:effectLst/>
              <a:latin typeface="+mn-lt"/>
              <a:ea typeface="+mn-ea"/>
              <a:cs typeface="+mn-cs"/>
            </a:rPr>
            <a:t>~Lift from pump to hydrant</a:t>
          </a:r>
        </a:p>
        <a:p>
          <a:r>
            <a:rPr lang="en-AU" sz="1000" baseline="0">
              <a:solidFill>
                <a:schemeClr val="bg1">
                  <a:lumMod val="95000"/>
                </a:schemeClr>
              </a:solidFill>
              <a:effectLst/>
              <a:latin typeface="+mn-lt"/>
              <a:ea typeface="+mn-ea"/>
              <a:cs typeface="+mn-cs"/>
            </a:rPr>
            <a:t>~Lift from pump to gun</a:t>
          </a:r>
        </a:p>
      </xdr:txBody>
    </xdr:sp>
    <xdr:clientData/>
  </xdr:oneCellAnchor>
  <xdr:twoCellAnchor>
    <xdr:from>
      <xdr:col>11</xdr:col>
      <xdr:colOff>123825</xdr:colOff>
      <xdr:row>5</xdr:row>
      <xdr:rowOff>152401</xdr:rowOff>
    </xdr:from>
    <xdr:to>
      <xdr:col>15</xdr:col>
      <xdr:colOff>185738</xdr:colOff>
      <xdr:row>11</xdr:row>
      <xdr:rowOff>38100</xdr:rowOff>
    </xdr:to>
    <xdr:cxnSp macro="">
      <xdr:nvCxnSpPr>
        <xdr:cNvPr id="108" name="Straight Arrow Connector 107">
          <a:extLst>
            <a:ext uri="{FF2B5EF4-FFF2-40B4-BE49-F238E27FC236}">
              <a16:creationId xmlns:a16="http://schemas.microsoft.com/office/drawing/2014/main" id="{4321EEE0-C899-46FB-9603-3A7E35B2F017}"/>
            </a:ext>
          </a:extLst>
        </xdr:cNvPr>
        <xdr:cNvCxnSpPr>
          <a:stCxn id="106" idx="2"/>
        </xdr:cNvCxnSpPr>
      </xdr:nvCxnSpPr>
      <xdr:spPr>
        <a:xfrm flipH="1">
          <a:off x="6372225" y="1000126"/>
          <a:ext cx="2500313" cy="102869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142875</xdr:colOff>
      <xdr:row>7</xdr:row>
      <xdr:rowOff>104775</xdr:rowOff>
    </xdr:from>
    <xdr:to>
      <xdr:col>10</xdr:col>
      <xdr:colOff>257175</xdr:colOff>
      <xdr:row>11</xdr:row>
      <xdr:rowOff>133350</xdr:rowOff>
    </xdr:to>
    <xdr:cxnSp macro="">
      <xdr:nvCxnSpPr>
        <xdr:cNvPr id="111" name="Straight Arrow Connector 110">
          <a:extLst>
            <a:ext uri="{FF2B5EF4-FFF2-40B4-BE49-F238E27FC236}">
              <a16:creationId xmlns:a16="http://schemas.microsoft.com/office/drawing/2014/main" id="{70D5AD6D-AC1D-4812-812B-0919CF552437}"/>
            </a:ext>
          </a:extLst>
        </xdr:cNvPr>
        <xdr:cNvCxnSpPr>
          <a:stCxn id="107" idx="2"/>
        </xdr:cNvCxnSpPr>
      </xdr:nvCxnSpPr>
      <xdr:spPr>
        <a:xfrm flipH="1">
          <a:off x="5179695" y="1285875"/>
          <a:ext cx="723900" cy="76009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257175</xdr:colOff>
      <xdr:row>7</xdr:row>
      <xdr:rowOff>104775</xdr:rowOff>
    </xdr:from>
    <xdr:to>
      <xdr:col>11</xdr:col>
      <xdr:colOff>447675</xdr:colOff>
      <xdr:row>11</xdr:row>
      <xdr:rowOff>57150</xdr:rowOff>
    </xdr:to>
    <xdr:cxnSp macro="">
      <xdr:nvCxnSpPr>
        <xdr:cNvPr id="114" name="Straight Arrow Connector 113">
          <a:extLst>
            <a:ext uri="{FF2B5EF4-FFF2-40B4-BE49-F238E27FC236}">
              <a16:creationId xmlns:a16="http://schemas.microsoft.com/office/drawing/2014/main" id="{5215D1AF-534D-40A4-963E-30EB9F13E2CB}"/>
            </a:ext>
          </a:extLst>
        </xdr:cNvPr>
        <xdr:cNvCxnSpPr>
          <a:stCxn id="107" idx="2"/>
        </xdr:cNvCxnSpPr>
      </xdr:nvCxnSpPr>
      <xdr:spPr>
        <a:xfrm>
          <a:off x="5903595" y="1285875"/>
          <a:ext cx="800100" cy="68389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257175</xdr:colOff>
      <xdr:row>7</xdr:row>
      <xdr:rowOff>104775</xdr:rowOff>
    </xdr:from>
    <xdr:to>
      <xdr:col>14</xdr:col>
      <xdr:colOff>371475</xdr:colOff>
      <xdr:row>11</xdr:row>
      <xdr:rowOff>28575</xdr:rowOff>
    </xdr:to>
    <xdr:cxnSp macro="">
      <xdr:nvCxnSpPr>
        <xdr:cNvPr id="117" name="Straight Arrow Connector 116">
          <a:extLst>
            <a:ext uri="{FF2B5EF4-FFF2-40B4-BE49-F238E27FC236}">
              <a16:creationId xmlns:a16="http://schemas.microsoft.com/office/drawing/2014/main" id="{145F952F-D93F-411B-86AF-0E6848ADCCEA}"/>
            </a:ext>
          </a:extLst>
        </xdr:cNvPr>
        <xdr:cNvCxnSpPr>
          <a:stCxn id="107" idx="2"/>
        </xdr:cNvCxnSpPr>
      </xdr:nvCxnSpPr>
      <xdr:spPr>
        <a:xfrm>
          <a:off x="5903595" y="1285875"/>
          <a:ext cx="2552700" cy="6553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209550</xdr:colOff>
      <xdr:row>5</xdr:row>
      <xdr:rowOff>152401</xdr:rowOff>
    </xdr:from>
    <xdr:to>
      <xdr:col>15</xdr:col>
      <xdr:colOff>185738</xdr:colOff>
      <xdr:row>11</xdr:row>
      <xdr:rowOff>123825</xdr:rowOff>
    </xdr:to>
    <xdr:cxnSp macro="">
      <xdr:nvCxnSpPr>
        <xdr:cNvPr id="130" name="Straight Arrow Connector 129">
          <a:extLst>
            <a:ext uri="{FF2B5EF4-FFF2-40B4-BE49-F238E27FC236}">
              <a16:creationId xmlns:a16="http://schemas.microsoft.com/office/drawing/2014/main" id="{FD0BBFE3-41C2-4E3C-AE3C-C5DF8E66FE27}"/>
            </a:ext>
          </a:extLst>
        </xdr:cNvPr>
        <xdr:cNvCxnSpPr>
          <a:stCxn id="106" idx="2"/>
        </xdr:cNvCxnSpPr>
      </xdr:nvCxnSpPr>
      <xdr:spPr>
        <a:xfrm flipH="1">
          <a:off x="7677150" y="1000126"/>
          <a:ext cx="1195388" cy="111442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185738</xdr:colOff>
      <xdr:row>5</xdr:row>
      <xdr:rowOff>152401</xdr:rowOff>
    </xdr:from>
    <xdr:to>
      <xdr:col>16</xdr:col>
      <xdr:colOff>409575</xdr:colOff>
      <xdr:row>11</xdr:row>
      <xdr:rowOff>114300</xdr:rowOff>
    </xdr:to>
    <xdr:cxnSp macro="">
      <xdr:nvCxnSpPr>
        <xdr:cNvPr id="133" name="Straight Arrow Connector 132">
          <a:extLst>
            <a:ext uri="{FF2B5EF4-FFF2-40B4-BE49-F238E27FC236}">
              <a16:creationId xmlns:a16="http://schemas.microsoft.com/office/drawing/2014/main" id="{6BECB6F6-6464-46D0-AB40-09CD62DB8A85}"/>
            </a:ext>
          </a:extLst>
        </xdr:cNvPr>
        <xdr:cNvCxnSpPr>
          <a:stCxn id="106" idx="2"/>
        </xdr:cNvCxnSpPr>
      </xdr:nvCxnSpPr>
      <xdr:spPr>
        <a:xfrm>
          <a:off x="8872538" y="1000126"/>
          <a:ext cx="833437" cy="110489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323850</xdr:colOff>
      <xdr:row>3</xdr:row>
      <xdr:rowOff>47624</xdr:rowOff>
    </xdr:from>
    <xdr:to>
      <xdr:col>22</xdr:col>
      <xdr:colOff>171450</xdr:colOff>
      <xdr:row>13</xdr:row>
      <xdr:rowOff>28576</xdr:rowOff>
    </xdr:to>
    <xdr:grpSp>
      <xdr:nvGrpSpPr>
        <xdr:cNvPr id="25" name="Group 24">
          <a:extLst>
            <a:ext uri="{FF2B5EF4-FFF2-40B4-BE49-F238E27FC236}">
              <a16:creationId xmlns:a16="http://schemas.microsoft.com/office/drawing/2014/main" id="{76DA701A-8251-444D-9D4A-F0118A2720C3}"/>
            </a:ext>
          </a:extLst>
        </xdr:cNvPr>
        <xdr:cNvGrpSpPr/>
      </xdr:nvGrpSpPr>
      <xdr:grpSpPr>
        <a:xfrm>
          <a:off x="10839450" y="514349"/>
          <a:ext cx="2286000" cy="1885952"/>
          <a:chOff x="10839450" y="514349"/>
          <a:chExt cx="2286000" cy="1885952"/>
        </a:xfrm>
      </xdr:grpSpPr>
      <xdr:sp macro="" textlink="">
        <xdr:nvSpPr>
          <xdr:cNvPr id="148" name="TextBox 147">
            <a:extLst>
              <a:ext uri="{FF2B5EF4-FFF2-40B4-BE49-F238E27FC236}">
                <a16:creationId xmlns:a16="http://schemas.microsoft.com/office/drawing/2014/main" id="{E04F8370-1DA3-44D5-B0FD-C6DC4FC55FCD}"/>
              </a:ext>
            </a:extLst>
          </xdr:cNvPr>
          <xdr:cNvSpPr txBox="1"/>
        </xdr:nvSpPr>
        <xdr:spPr>
          <a:xfrm>
            <a:off x="10839450" y="514349"/>
            <a:ext cx="2286000" cy="1885952"/>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t">
            <a:noAutofit/>
          </a:bodyPr>
          <a:lstStyle/>
          <a:p>
            <a:r>
              <a:rPr lang="en-AU" sz="1000">
                <a:solidFill>
                  <a:schemeClr val="bg1">
                    <a:lumMod val="95000"/>
                  </a:schemeClr>
                </a:solidFill>
                <a:effectLst/>
                <a:latin typeface="+mn-lt"/>
                <a:ea typeface="+mn-ea"/>
                <a:cs typeface="+mn-cs"/>
              </a:rPr>
              <a:t>11.</a:t>
            </a:r>
            <a:r>
              <a:rPr lang="en-AU" sz="1000" baseline="0">
                <a:solidFill>
                  <a:schemeClr val="bg1">
                    <a:lumMod val="95000"/>
                  </a:schemeClr>
                </a:solidFill>
                <a:effectLst/>
                <a:latin typeface="+mn-lt"/>
                <a:ea typeface="+mn-ea"/>
                <a:cs typeface="+mn-cs"/>
              </a:rPr>
              <a:t> Select gun type</a:t>
            </a:r>
          </a:p>
          <a:p>
            <a:r>
              <a:rPr lang="en-AU" sz="1000" baseline="0">
                <a:solidFill>
                  <a:schemeClr val="bg1">
                    <a:lumMod val="95000"/>
                  </a:schemeClr>
                </a:solidFill>
                <a:effectLst/>
                <a:latin typeface="+mn-lt"/>
                <a:ea typeface="+mn-ea"/>
                <a:cs typeface="+mn-cs"/>
              </a:rPr>
              <a:t>12. Enter nozzle size</a:t>
            </a:r>
          </a:p>
          <a:p>
            <a:r>
              <a:rPr lang="en-AU" sz="1000" baseline="0">
                <a:solidFill>
                  <a:schemeClr val="bg1">
                    <a:lumMod val="95000"/>
                  </a:schemeClr>
                </a:solidFill>
                <a:effectLst/>
                <a:latin typeface="+mn-lt"/>
                <a:ea typeface="+mn-ea"/>
                <a:cs typeface="+mn-cs"/>
              </a:rPr>
              <a:t>13. Enter distance between hydrants (m)</a:t>
            </a:r>
          </a:p>
          <a:p>
            <a:r>
              <a:rPr lang="en-AU" sz="1000" baseline="0">
                <a:solidFill>
                  <a:schemeClr val="bg1">
                    <a:lumMod val="95000"/>
                  </a:schemeClr>
                </a:solidFill>
                <a:effectLst/>
                <a:latin typeface="+mn-lt"/>
                <a:ea typeface="+mn-ea"/>
                <a:cs typeface="+mn-cs"/>
              </a:rPr>
              <a:t>14. Enter target spray overlap (%)</a:t>
            </a:r>
          </a:p>
        </xdr:txBody>
      </xdr:sp>
      <xdr:sp macro="" textlink="">
        <xdr:nvSpPr>
          <xdr:cNvPr id="149" name="TextBox 148">
            <a:extLst>
              <a:ext uri="{FF2B5EF4-FFF2-40B4-BE49-F238E27FC236}">
                <a16:creationId xmlns:a16="http://schemas.microsoft.com/office/drawing/2014/main" id="{FA8AED6F-AB73-435B-A93E-D1746D7A9E0C}"/>
              </a:ext>
            </a:extLst>
          </xdr:cNvPr>
          <xdr:cNvSpPr txBox="1"/>
        </xdr:nvSpPr>
        <xdr:spPr>
          <a:xfrm>
            <a:off x="10915650" y="1266824"/>
            <a:ext cx="2171700" cy="419102"/>
          </a:xfrm>
          <a:prstGeom prst="rect">
            <a:avLst/>
          </a:prstGeom>
          <a:solidFill>
            <a:schemeClr val="accent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r>
              <a:rPr lang="en-AU" sz="900" baseline="0">
                <a:solidFill>
                  <a:srgbClr val="FF0000"/>
                </a:solidFill>
                <a:effectLst/>
                <a:latin typeface="+mn-lt"/>
                <a:ea typeface="+mn-ea"/>
                <a:cs typeface="+mn-cs"/>
              </a:rPr>
              <a:t>Output: 'Ideal throw' is the optimal throw distance to achieve desired overlap.</a:t>
            </a:r>
            <a:endParaRPr lang="en-AU" sz="900">
              <a:solidFill>
                <a:srgbClr val="FF0000"/>
              </a:solidFill>
              <a:effectLst/>
            </a:endParaRPr>
          </a:p>
        </xdr:txBody>
      </xdr:sp>
      <xdr:sp macro="" textlink="">
        <xdr:nvSpPr>
          <xdr:cNvPr id="150" name="TextBox 149">
            <a:extLst>
              <a:ext uri="{FF2B5EF4-FFF2-40B4-BE49-F238E27FC236}">
                <a16:creationId xmlns:a16="http://schemas.microsoft.com/office/drawing/2014/main" id="{A350AC66-DB93-4D8C-86C0-CFF12EDD4024}"/>
              </a:ext>
            </a:extLst>
          </xdr:cNvPr>
          <xdr:cNvSpPr txBox="1"/>
        </xdr:nvSpPr>
        <xdr:spPr>
          <a:xfrm>
            <a:off x="10906125" y="1724024"/>
            <a:ext cx="2171700" cy="581026"/>
          </a:xfrm>
          <a:prstGeom prst="rect">
            <a:avLst/>
          </a:prstGeom>
          <a:solidFill>
            <a:schemeClr val="accent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r>
              <a:rPr lang="en-AU" sz="900" baseline="0">
                <a:solidFill>
                  <a:srgbClr val="FF0000"/>
                </a:solidFill>
                <a:effectLst/>
                <a:latin typeface="+mn-lt"/>
                <a:ea typeface="+mn-ea"/>
                <a:cs typeface="+mn-cs"/>
              </a:rPr>
              <a:t>Output: 'Estimated throw' is based on gun type, pressure, and nozzle size. It is the diameter of the wetted area.</a:t>
            </a:r>
            <a:endParaRPr lang="en-AU" sz="900">
              <a:solidFill>
                <a:srgbClr val="FF0000"/>
              </a:solidFill>
              <a:effectLst/>
            </a:endParaRPr>
          </a:p>
        </xdr:txBody>
      </xdr:sp>
    </xdr:grpSp>
    <xdr:clientData/>
  </xdr:twoCellAnchor>
  <xdr:twoCellAnchor>
    <xdr:from>
      <xdr:col>17</xdr:col>
      <xdr:colOff>476249</xdr:colOff>
      <xdr:row>8</xdr:row>
      <xdr:rowOff>38100</xdr:rowOff>
    </xdr:from>
    <xdr:to>
      <xdr:col>18</xdr:col>
      <xdr:colOff>323850</xdr:colOff>
      <xdr:row>16</xdr:row>
      <xdr:rowOff>57150</xdr:rowOff>
    </xdr:to>
    <xdr:cxnSp macro="">
      <xdr:nvCxnSpPr>
        <xdr:cNvPr id="151" name="Straight Arrow Connector 150">
          <a:extLst>
            <a:ext uri="{FF2B5EF4-FFF2-40B4-BE49-F238E27FC236}">
              <a16:creationId xmlns:a16="http://schemas.microsoft.com/office/drawing/2014/main" id="{CBD7692F-488F-4332-BF91-6A4EEB3C48B7}"/>
            </a:ext>
          </a:extLst>
        </xdr:cNvPr>
        <xdr:cNvCxnSpPr>
          <a:stCxn id="148" idx="1"/>
          <a:endCxn id="154" idx="1"/>
        </xdr:cNvCxnSpPr>
      </xdr:nvCxnSpPr>
      <xdr:spPr>
        <a:xfrm flipH="1">
          <a:off x="10382249" y="1457325"/>
          <a:ext cx="457201" cy="15430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333374</xdr:colOff>
      <xdr:row>14</xdr:row>
      <xdr:rowOff>123825</xdr:rowOff>
    </xdr:from>
    <xdr:to>
      <xdr:col>17</xdr:col>
      <xdr:colOff>476249</xdr:colOff>
      <xdr:row>17</xdr:row>
      <xdr:rowOff>180975</xdr:rowOff>
    </xdr:to>
    <xdr:sp macro="" textlink="">
      <xdr:nvSpPr>
        <xdr:cNvPr id="154" name="Left Brace 153">
          <a:extLst>
            <a:ext uri="{FF2B5EF4-FFF2-40B4-BE49-F238E27FC236}">
              <a16:creationId xmlns:a16="http://schemas.microsoft.com/office/drawing/2014/main" id="{5E0A2F92-7C55-492C-B176-3243A5A737EC}"/>
            </a:ext>
          </a:extLst>
        </xdr:cNvPr>
        <xdr:cNvSpPr/>
      </xdr:nvSpPr>
      <xdr:spPr>
        <a:xfrm flipH="1">
          <a:off x="10239374" y="2686050"/>
          <a:ext cx="142875" cy="628650"/>
        </a:xfrm>
        <a:prstGeom prst="leftBrace">
          <a:avLst/>
        </a:prstGeom>
        <a:ln w="1905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AU" sz="1100"/>
        </a:p>
      </xdr:txBody>
    </xdr:sp>
    <xdr:clientData/>
  </xdr:twoCellAnchor>
  <xdr:oneCellAnchor>
    <xdr:from>
      <xdr:col>14</xdr:col>
      <xdr:colOff>76200</xdr:colOff>
      <xdr:row>32</xdr:row>
      <xdr:rowOff>38099</xdr:rowOff>
    </xdr:from>
    <xdr:ext cx="2286000" cy="600076"/>
    <xdr:sp macro="" textlink="">
      <xdr:nvSpPr>
        <xdr:cNvPr id="156" name="TextBox 155">
          <a:extLst>
            <a:ext uri="{FF2B5EF4-FFF2-40B4-BE49-F238E27FC236}">
              <a16:creationId xmlns:a16="http://schemas.microsoft.com/office/drawing/2014/main" id="{51162E1C-0D3E-4A5F-9856-6914CC647650}"/>
            </a:ext>
          </a:extLst>
        </xdr:cNvPr>
        <xdr:cNvSpPr txBox="1"/>
      </xdr:nvSpPr>
      <xdr:spPr>
        <a:xfrm>
          <a:off x="8153400" y="6029324"/>
          <a:ext cx="2286000" cy="600076"/>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t">
          <a:noAutofit/>
        </a:bodyPr>
        <a:lstStyle/>
        <a:p>
          <a:r>
            <a:rPr lang="en-AU" sz="1000" baseline="0">
              <a:solidFill>
                <a:schemeClr val="bg1">
                  <a:lumMod val="95000"/>
                </a:schemeClr>
              </a:solidFill>
              <a:effectLst/>
              <a:latin typeface="+mn-lt"/>
              <a:ea typeface="+mn-ea"/>
              <a:cs typeface="+mn-cs"/>
            </a:rPr>
            <a:t>19. Enter your target pump efficiency. This figure is used to estimate potential savings from improving pump efficiency</a:t>
          </a:r>
        </a:p>
      </xdr:txBody>
    </xdr:sp>
    <xdr:clientData/>
  </xdr:oneCellAnchor>
  <xdr:oneCellAnchor>
    <xdr:from>
      <xdr:col>18</xdr:col>
      <xdr:colOff>323850</xdr:colOff>
      <xdr:row>18</xdr:row>
      <xdr:rowOff>152398</xdr:rowOff>
    </xdr:from>
    <xdr:ext cx="2286000" cy="1323977"/>
    <xdr:sp macro="" textlink="">
      <xdr:nvSpPr>
        <xdr:cNvPr id="157" name="TextBox 156">
          <a:extLst>
            <a:ext uri="{FF2B5EF4-FFF2-40B4-BE49-F238E27FC236}">
              <a16:creationId xmlns:a16="http://schemas.microsoft.com/office/drawing/2014/main" id="{74742B04-BC66-4E8C-9AD2-42291CC29431}"/>
            </a:ext>
          </a:extLst>
        </xdr:cNvPr>
        <xdr:cNvSpPr txBox="1"/>
      </xdr:nvSpPr>
      <xdr:spPr>
        <a:xfrm>
          <a:off x="10839450" y="3476623"/>
          <a:ext cx="2286000" cy="1323977"/>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t">
          <a:noAutofit/>
        </a:bodyPr>
        <a:lstStyle/>
        <a:p>
          <a:r>
            <a:rPr lang="en-AU" sz="1000" baseline="0">
              <a:solidFill>
                <a:schemeClr val="bg1">
                  <a:lumMod val="95000"/>
                </a:schemeClr>
              </a:solidFill>
              <a:effectLst/>
              <a:latin typeface="+mn-lt"/>
              <a:ea typeface="+mn-ea"/>
              <a:cs typeface="+mn-cs"/>
            </a:rPr>
            <a:t>17. Enter your target head loss for the mainline (m/100 m of pipe)  </a:t>
          </a:r>
        </a:p>
        <a:p>
          <a:endParaRPr lang="en-AU" sz="1000" baseline="0">
            <a:solidFill>
              <a:schemeClr val="bg1">
                <a:lumMod val="95000"/>
              </a:schemeClr>
            </a:solidFill>
            <a:effectLst/>
            <a:latin typeface="+mn-lt"/>
            <a:ea typeface="+mn-ea"/>
            <a:cs typeface="+mn-cs"/>
          </a:endParaRPr>
        </a:p>
        <a:p>
          <a:r>
            <a:rPr lang="en-AU" sz="1000" baseline="0">
              <a:solidFill>
                <a:schemeClr val="bg1">
                  <a:lumMod val="95000"/>
                </a:schemeClr>
              </a:solidFill>
              <a:effectLst/>
              <a:latin typeface="+mn-lt"/>
              <a:ea typeface="+mn-ea"/>
              <a:cs typeface="+mn-cs"/>
            </a:rPr>
            <a:t>Ideally 1-3 m/100m</a:t>
          </a:r>
        </a:p>
        <a:p>
          <a:r>
            <a:rPr lang="en-AU" sz="1000" baseline="0">
              <a:solidFill>
                <a:schemeClr val="bg1">
                  <a:lumMod val="95000"/>
                </a:schemeClr>
              </a:solidFill>
              <a:effectLst/>
              <a:latin typeface="+mn-lt"/>
              <a:ea typeface="+mn-ea"/>
              <a:cs typeface="+mn-cs"/>
            </a:rPr>
            <a:t>Note: This is a guide only. Seek professional advice and get quotes before making any upgrades to your irrigation system. </a:t>
          </a:r>
        </a:p>
      </xdr:txBody>
    </xdr:sp>
    <xdr:clientData/>
  </xdr:oneCellAnchor>
  <xdr:oneCellAnchor>
    <xdr:from>
      <xdr:col>18</xdr:col>
      <xdr:colOff>323850</xdr:colOff>
      <xdr:row>26</xdr:row>
      <xdr:rowOff>28573</xdr:rowOff>
    </xdr:from>
    <xdr:ext cx="2286000" cy="1390652"/>
    <xdr:sp macro="" textlink="">
      <xdr:nvSpPr>
        <xdr:cNvPr id="158" name="TextBox 157">
          <a:extLst>
            <a:ext uri="{FF2B5EF4-FFF2-40B4-BE49-F238E27FC236}">
              <a16:creationId xmlns:a16="http://schemas.microsoft.com/office/drawing/2014/main" id="{F36F8B03-ECAB-4AE0-B4A9-AA1A4D6D61E5}"/>
            </a:ext>
          </a:extLst>
        </xdr:cNvPr>
        <xdr:cNvSpPr txBox="1"/>
      </xdr:nvSpPr>
      <xdr:spPr>
        <a:xfrm>
          <a:off x="10839450" y="4876798"/>
          <a:ext cx="2286000" cy="1390652"/>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t">
          <a:noAutofit/>
        </a:bodyPr>
        <a:lstStyle/>
        <a:p>
          <a:r>
            <a:rPr lang="en-AU" sz="1000" baseline="0">
              <a:solidFill>
                <a:schemeClr val="lt1"/>
              </a:solidFill>
              <a:effectLst/>
              <a:latin typeface="+mn-lt"/>
              <a:ea typeface="+mn-ea"/>
              <a:cs typeface="+mn-cs"/>
            </a:rPr>
            <a:t>18. Enter your target head loss for the irrigator hose (m/100 m of pipe)  </a:t>
          </a:r>
          <a:endParaRPr lang="en-AU" sz="1000">
            <a:effectLst/>
          </a:endParaRPr>
        </a:p>
        <a:p>
          <a:endParaRPr lang="en-AU" sz="1000" baseline="0">
            <a:solidFill>
              <a:schemeClr val="lt1"/>
            </a:solidFill>
            <a:effectLst/>
            <a:latin typeface="+mn-lt"/>
            <a:ea typeface="+mn-ea"/>
            <a:cs typeface="+mn-cs"/>
          </a:endParaRPr>
        </a:p>
        <a:p>
          <a:r>
            <a:rPr lang="en-AU" sz="1000" baseline="0">
              <a:solidFill>
                <a:schemeClr val="lt1"/>
              </a:solidFill>
              <a:effectLst/>
              <a:latin typeface="+mn-lt"/>
              <a:ea typeface="+mn-ea"/>
              <a:cs typeface="+mn-cs"/>
            </a:rPr>
            <a:t>Ideally 3-10 m/100m</a:t>
          </a:r>
          <a:endParaRPr lang="en-AU" sz="1000">
            <a:effectLst/>
          </a:endParaRPr>
        </a:p>
        <a:p>
          <a:r>
            <a:rPr lang="en-AU" sz="1000" baseline="0">
              <a:solidFill>
                <a:schemeClr val="lt1"/>
              </a:solidFill>
              <a:effectLst/>
              <a:latin typeface="+mn-lt"/>
              <a:ea typeface="+mn-ea"/>
              <a:cs typeface="+mn-cs"/>
            </a:rPr>
            <a:t>Note: This is a guide only. Seek professional advice and get quotes before making any upgrades to your irrigation system. </a:t>
          </a:r>
          <a:endParaRPr lang="en-AU" sz="1000">
            <a:effectLst/>
          </a:endParaRPr>
        </a:p>
        <a:p>
          <a:endParaRPr lang="en-AU" sz="1000" baseline="0">
            <a:solidFill>
              <a:schemeClr val="bg1">
                <a:lumMod val="95000"/>
              </a:schemeClr>
            </a:solidFill>
            <a:effectLst/>
            <a:latin typeface="+mn-lt"/>
            <a:ea typeface="+mn-ea"/>
            <a:cs typeface="+mn-cs"/>
          </a:endParaRPr>
        </a:p>
      </xdr:txBody>
    </xdr:sp>
    <xdr:clientData/>
  </xdr:oneCellAnchor>
  <xdr:twoCellAnchor>
    <xdr:from>
      <xdr:col>13</xdr:col>
      <xdr:colOff>381000</xdr:colOff>
      <xdr:row>22</xdr:row>
      <xdr:rowOff>52387</xdr:rowOff>
    </xdr:from>
    <xdr:to>
      <xdr:col>18</xdr:col>
      <xdr:colOff>323850</xdr:colOff>
      <xdr:row>24</xdr:row>
      <xdr:rowOff>38100</xdr:rowOff>
    </xdr:to>
    <xdr:cxnSp macro="">
      <xdr:nvCxnSpPr>
        <xdr:cNvPr id="160" name="Straight Arrow Connector 159">
          <a:extLst>
            <a:ext uri="{FF2B5EF4-FFF2-40B4-BE49-F238E27FC236}">
              <a16:creationId xmlns:a16="http://schemas.microsoft.com/office/drawing/2014/main" id="{8E243AD0-87E5-42CB-AE9D-BAB3CADF1E76}"/>
            </a:ext>
          </a:extLst>
        </xdr:cNvPr>
        <xdr:cNvCxnSpPr>
          <a:stCxn id="157" idx="1"/>
        </xdr:cNvCxnSpPr>
      </xdr:nvCxnSpPr>
      <xdr:spPr>
        <a:xfrm flipH="1">
          <a:off x="7848600" y="4138612"/>
          <a:ext cx="2990850" cy="36671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276225</xdr:colOff>
      <xdr:row>24</xdr:row>
      <xdr:rowOff>123825</xdr:rowOff>
    </xdr:from>
    <xdr:to>
      <xdr:col>18</xdr:col>
      <xdr:colOff>323850</xdr:colOff>
      <xdr:row>29</xdr:row>
      <xdr:rowOff>152399</xdr:rowOff>
    </xdr:to>
    <xdr:cxnSp macro="">
      <xdr:nvCxnSpPr>
        <xdr:cNvPr id="163" name="Straight Arrow Connector 162">
          <a:extLst>
            <a:ext uri="{FF2B5EF4-FFF2-40B4-BE49-F238E27FC236}">
              <a16:creationId xmlns:a16="http://schemas.microsoft.com/office/drawing/2014/main" id="{ACCA922A-44F0-4721-85A9-A5A0E6BA1B31}"/>
            </a:ext>
          </a:extLst>
        </xdr:cNvPr>
        <xdr:cNvCxnSpPr>
          <a:stCxn id="158" idx="1"/>
        </xdr:cNvCxnSpPr>
      </xdr:nvCxnSpPr>
      <xdr:spPr>
        <a:xfrm flipH="1" flipV="1">
          <a:off x="8353425" y="4591050"/>
          <a:ext cx="2486025" cy="98107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400050</xdr:colOff>
      <xdr:row>24</xdr:row>
      <xdr:rowOff>104775</xdr:rowOff>
    </xdr:from>
    <xdr:to>
      <xdr:col>16</xdr:col>
      <xdr:colOff>0</xdr:colOff>
      <xdr:row>32</xdr:row>
      <xdr:rowOff>38099</xdr:rowOff>
    </xdr:to>
    <xdr:cxnSp macro="">
      <xdr:nvCxnSpPr>
        <xdr:cNvPr id="166" name="Straight Arrow Connector 165">
          <a:extLst>
            <a:ext uri="{FF2B5EF4-FFF2-40B4-BE49-F238E27FC236}">
              <a16:creationId xmlns:a16="http://schemas.microsoft.com/office/drawing/2014/main" id="{9A6F3BF6-ED89-48AC-9E5D-83C15CE72D30}"/>
            </a:ext>
          </a:extLst>
        </xdr:cNvPr>
        <xdr:cNvCxnSpPr>
          <a:stCxn id="156" idx="0"/>
        </xdr:cNvCxnSpPr>
      </xdr:nvCxnSpPr>
      <xdr:spPr>
        <a:xfrm flipH="1" flipV="1">
          <a:off x="5429250" y="4572000"/>
          <a:ext cx="3867150" cy="145732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323850</xdr:colOff>
      <xdr:row>13</xdr:row>
      <xdr:rowOff>104773</xdr:rowOff>
    </xdr:from>
    <xdr:ext cx="2286000" cy="581027"/>
    <xdr:sp macro="" textlink="">
      <xdr:nvSpPr>
        <xdr:cNvPr id="175" name="TextBox 174">
          <a:extLst>
            <a:ext uri="{FF2B5EF4-FFF2-40B4-BE49-F238E27FC236}">
              <a16:creationId xmlns:a16="http://schemas.microsoft.com/office/drawing/2014/main" id="{2F79DC2E-E1CF-4BCB-A147-8ACDFD5BFEA9}"/>
            </a:ext>
          </a:extLst>
        </xdr:cNvPr>
        <xdr:cNvSpPr txBox="1"/>
      </xdr:nvSpPr>
      <xdr:spPr>
        <a:xfrm>
          <a:off x="10839450" y="2476498"/>
          <a:ext cx="2286000" cy="581027"/>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t">
          <a:noAutofit/>
        </a:bodyPr>
        <a:lstStyle/>
        <a:p>
          <a:r>
            <a:rPr lang="en-AU" sz="1000" baseline="0">
              <a:solidFill>
                <a:schemeClr val="bg1">
                  <a:lumMod val="95000"/>
                </a:schemeClr>
              </a:solidFill>
              <a:effectLst/>
              <a:latin typeface="+mn-lt"/>
              <a:ea typeface="+mn-ea"/>
              <a:cs typeface="+mn-cs"/>
            </a:rPr>
            <a:t>15. Enter your mainline length, which is the distance from pump to hydrant that you are monitoring</a:t>
          </a:r>
        </a:p>
      </xdr:txBody>
    </xdr:sp>
    <xdr:clientData/>
  </xdr:oneCellAnchor>
  <xdr:oneCellAnchor>
    <xdr:from>
      <xdr:col>18</xdr:col>
      <xdr:colOff>323850</xdr:colOff>
      <xdr:row>16</xdr:row>
      <xdr:rowOff>190499</xdr:rowOff>
    </xdr:from>
    <xdr:ext cx="2286000" cy="266702"/>
    <xdr:sp macro="" textlink="">
      <xdr:nvSpPr>
        <xdr:cNvPr id="177" name="TextBox 176">
          <a:extLst>
            <a:ext uri="{FF2B5EF4-FFF2-40B4-BE49-F238E27FC236}">
              <a16:creationId xmlns:a16="http://schemas.microsoft.com/office/drawing/2014/main" id="{BEA6E14A-9F73-4A7A-B1E1-72660436022C}"/>
            </a:ext>
          </a:extLst>
        </xdr:cNvPr>
        <xdr:cNvSpPr txBox="1"/>
      </xdr:nvSpPr>
      <xdr:spPr>
        <a:xfrm>
          <a:off x="10839450" y="3133724"/>
          <a:ext cx="2286000" cy="266702"/>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t">
          <a:noAutofit/>
        </a:bodyPr>
        <a:lstStyle/>
        <a:p>
          <a:r>
            <a:rPr lang="en-AU" sz="1000" baseline="0">
              <a:solidFill>
                <a:schemeClr val="bg1">
                  <a:lumMod val="95000"/>
                </a:schemeClr>
              </a:solidFill>
              <a:effectLst/>
              <a:latin typeface="+mn-lt"/>
              <a:ea typeface="+mn-ea"/>
              <a:cs typeface="+mn-cs"/>
            </a:rPr>
            <a:t>16. Enter your irrigator hose length</a:t>
          </a:r>
        </a:p>
      </xdr:txBody>
    </xdr:sp>
    <xdr:clientData/>
  </xdr:oneCellAnchor>
  <xdr:twoCellAnchor>
    <xdr:from>
      <xdr:col>12</xdr:col>
      <xdr:colOff>238125</xdr:colOff>
      <xdr:row>15</xdr:row>
      <xdr:rowOff>14287</xdr:rowOff>
    </xdr:from>
    <xdr:to>
      <xdr:col>18</xdr:col>
      <xdr:colOff>323850</xdr:colOff>
      <xdr:row>19</xdr:row>
      <xdr:rowOff>152400</xdr:rowOff>
    </xdr:to>
    <xdr:cxnSp macro="">
      <xdr:nvCxnSpPr>
        <xdr:cNvPr id="180" name="Straight Arrow Connector 179">
          <a:extLst>
            <a:ext uri="{FF2B5EF4-FFF2-40B4-BE49-F238E27FC236}">
              <a16:creationId xmlns:a16="http://schemas.microsoft.com/office/drawing/2014/main" id="{CCD09E2D-AACC-418F-9392-E8F8F5EE3771}"/>
            </a:ext>
          </a:extLst>
        </xdr:cNvPr>
        <xdr:cNvCxnSpPr>
          <a:stCxn id="175" idx="1"/>
        </xdr:cNvCxnSpPr>
      </xdr:nvCxnSpPr>
      <xdr:spPr>
        <a:xfrm flipH="1">
          <a:off x="7096125" y="2767012"/>
          <a:ext cx="3743325" cy="90011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323850</xdr:colOff>
      <xdr:row>17</xdr:row>
      <xdr:rowOff>133350</xdr:rowOff>
    </xdr:from>
    <xdr:to>
      <xdr:col>18</xdr:col>
      <xdr:colOff>323850</xdr:colOff>
      <xdr:row>19</xdr:row>
      <xdr:rowOff>152400</xdr:rowOff>
    </xdr:to>
    <xdr:cxnSp macro="">
      <xdr:nvCxnSpPr>
        <xdr:cNvPr id="184" name="Straight Arrow Connector 183">
          <a:extLst>
            <a:ext uri="{FF2B5EF4-FFF2-40B4-BE49-F238E27FC236}">
              <a16:creationId xmlns:a16="http://schemas.microsoft.com/office/drawing/2014/main" id="{8070EF84-FDC9-488C-B4D0-2CB349A62391}"/>
            </a:ext>
          </a:extLst>
        </xdr:cNvPr>
        <xdr:cNvCxnSpPr>
          <a:stCxn id="177" idx="1"/>
        </xdr:cNvCxnSpPr>
      </xdr:nvCxnSpPr>
      <xdr:spPr>
        <a:xfrm flipH="1">
          <a:off x="8401050" y="3267075"/>
          <a:ext cx="2438400" cy="4000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28575</xdr:colOff>
      <xdr:row>3</xdr:row>
      <xdr:rowOff>95251</xdr:rowOff>
    </xdr:from>
    <xdr:ext cx="2371725" cy="400049"/>
    <xdr:sp macro="" textlink="">
      <xdr:nvSpPr>
        <xdr:cNvPr id="84" name="TextBox 83">
          <a:extLst>
            <a:ext uri="{FF2B5EF4-FFF2-40B4-BE49-F238E27FC236}">
              <a16:creationId xmlns:a16="http://schemas.microsoft.com/office/drawing/2014/main" id="{367371EE-7595-4F50-9763-C087559509B4}"/>
            </a:ext>
          </a:extLst>
        </xdr:cNvPr>
        <xdr:cNvSpPr txBox="1"/>
      </xdr:nvSpPr>
      <xdr:spPr>
        <a:xfrm>
          <a:off x="180975" y="561976"/>
          <a:ext cx="2371725" cy="400049"/>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t">
          <a:noAutofit/>
        </a:bodyPr>
        <a:lstStyle/>
        <a:p>
          <a:r>
            <a:rPr lang="en-AU" sz="1000">
              <a:solidFill>
                <a:schemeClr val="bg1">
                  <a:lumMod val="95000"/>
                </a:schemeClr>
              </a:solidFill>
              <a:effectLst/>
              <a:latin typeface="+mn-lt"/>
              <a:ea typeface="+mn-ea"/>
              <a:cs typeface="+mn-cs"/>
            </a:rPr>
            <a:t>1.</a:t>
          </a:r>
          <a:r>
            <a:rPr lang="en-AU" sz="1000" baseline="0">
              <a:solidFill>
                <a:schemeClr val="bg1">
                  <a:lumMod val="95000"/>
                </a:schemeClr>
              </a:solidFill>
              <a:effectLst/>
              <a:latin typeface="+mn-lt"/>
              <a:ea typeface="+mn-ea"/>
              <a:cs typeface="+mn-cs"/>
            </a:rPr>
            <a:t> Select energy source</a:t>
          </a:r>
        </a:p>
        <a:p>
          <a:r>
            <a:rPr lang="en-AU" sz="1000" baseline="0">
              <a:solidFill>
                <a:schemeClr val="bg1">
                  <a:lumMod val="95000"/>
                </a:schemeClr>
              </a:solidFill>
              <a:effectLst/>
              <a:latin typeface="+mn-lt"/>
              <a:ea typeface="+mn-ea"/>
              <a:cs typeface="+mn-cs"/>
            </a:rPr>
            <a:t>~ Diesel or electricity</a:t>
          </a:r>
        </a:p>
      </xdr:txBody>
    </xdr:sp>
    <xdr:clientData/>
  </xdr:oneCellAnchor>
  <xdr:twoCellAnchor>
    <xdr:from>
      <xdr:col>4</xdr:col>
      <xdr:colOff>571500</xdr:colOff>
      <xdr:row>4</xdr:row>
      <xdr:rowOff>104776</xdr:rowOff>
    </xdr:from>
    <xdr:to>
      <xdr:col>7</xdr:col>
      <xdr:colOff>542925</xdr:colOff>
      <xdr:row>10</xdr:row>
      <xdr:rowOff>66675</xdr:rowOff>
    </xdr:to>
    <xdr:cxnSp macro="">
      <xdr:nvCxnSpPr>
        <xdr:cNvPr id="86" name="Straight Arrow Connector 85">
          <a:extLst>
            <a:ext uri="{FF2B5EF4-FFF2-40B4-BE49-F238E27FC236}">
              <a16:creationId xmlns:a16="http://schemas.microsoft.com/office/drawing/2014/main" id="{6D1B6238-A454-4A02-8603-96E2D80E69D0}"/>
            </a:ext>
          </a:extLst>
        </xdr:cNvPr>
        <xdr:cNvCxnSpPr>
          <a:stCxn id="84" idx="3"/>
        </xdr:cNvCxnSpPr>
      </xdr:nvCxnSpPr>
      <xdr:spPr>
        <a:xfrm>
          <a:off x="2552700" y="762001"/>
          <a:ext cx="1800225" cy="110489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oneCellAnchor>
    <xdr:from>
      <xdr:col>1</xdr:col>
      <xdr:colOff>9525</xdr:colOff>
      <xdr:row>2</xdr:row>
      <xdr:rowOff>76198</xdr:rowOff>
    </xdr:from>
    <xdr:ext cx="13068300" cy="6638927"/>
    <xdr:sp macro="" textlink="">
      <xdr:nvSpPr>
        <xdr:cNvPr id="2" name="TextBox 1">
          <a:extLst>
            <a:ext uri="{FF2B5EF4-FFF2-40B4-BE49-F238E27FC236}">
              <a16:creationId xmlns:a16="http://schemas.microsoft.com/office/drawing/2014/main" id="{B8BA6505-A429-4CC3-B9C4-AB469F4C97C1}"/>
            </a:ext>
          </a:extLst>
        </xdr:cNvPr>
        <xdr:cNvSpPr txBox="1"/>
      </xdr:nvSpPr>
      <xdr:spPr>
        <a:xfrm>
          <a:off x="161925" y="352423"/>
          <a:ext cx="13068300" cy="6638927"/>
        </a:xfrm>
        <a:prstGeom prst="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wrap="none" rtlCol="0" anchor="t">
          <a:noAutofit/>
        </a:bodyPr>
        <a:lstStyle/>
        <a:p>
          <a:r>
            <a:rPr lang="en-AU" sz="1100" b="1">
              <a:solidFill>
                <a:schemeClr val="tx2">
                  <a:lumMod val="50000"/>
                </a:schemeClr>
              </a:solidFill>
            </a:rPr>
            <a:t>Data</a:t>
          </a:r>
          <a:r>
            <a:rPr lang="en-AU" sz="1100" b="1" baseline="0">
              <a:solidFill>
                <a:schemeClr val="tx2">
                  <a:lumMod val="50000"/>
                </a:schemeClr>
              </a:solidFill>
            </a:rPr>
            <a:t> interpretation</a:t>
          </a:r>
          <a:endParaRPr lang="en-AU" sz="1100" b="1">
            <a:solidFill>
              <a:schemeClr val="tx2">
                <a:lumMod val="50000"/>
              </a:schemeClr>
            </a:solidFill>
          </a:endParaRPr>
        </a:p>
      </xdr:txBody>
    </xdr:sp>
    <xdr:clientData/>
  </xdr:oneCellAnchor>
  <xdr:twoCellAnchor editAs="oneCell">
    <xdr:from>
      <xdr:col>5</xdr:col>
      <xdr:colOff>476249</xdr:colOff>
      <xdr:row>5</xdr:row>
      <xdr:rowOff>130460</xdr:rowOff>
    </xdr:from>
    <xdr:to>
      <xdr:col>17</xdr:col>
      <xdr:colOff>419100</xdr:colOff>
      <xdr:row>27</xdr:row>
      <xdr:rowOff>46651</xdr:rowOff>
    </xdr:to>
    <xdr:pic>
      <xdr:nvPicPr>
        <xdr:cNvPr id="3" name="Picture 2">
          <a:extLst>
            <a:ext uri="{FF2B5EF4-FFF2-40B4-BE49-F238E27FC236}">
              <a16:creationId xmlns:a16="http://schemas.microsoft.com/office/drawing/2014/main" id="{E024E08D-221E-4DF3-ADF6-18FD03D933B9}"/>
            </a:ext>
          </a:extLst>
        </xdr:cNvPr>
        <xdr:cNvPicPr>
          <a:picLocks noChangeAspect="1"/>
        </xdr:cNvPicPr>
      </xdr:nvPicPr>
      <xdr:blipFill>
        <a:blip xmlns:r="http://schemas.openxmlformats.org/officeDocument/2006/relationships" r:embed="rId1"/>
        <a:stretch>
          <a:fillRect/>
        </a:stretch>
      </xdr:blipFill>
      <xdr:spPr>
        <a:xfrm>
          <a:off x="3067049" y="978185"/>
          <a:ext cx="7258051" cy="4107191"/>
        </a:xfrm>
        <a:prstGeom prst="rect">
          <a:avLst/>
        </a:prstGeom>
      </xdr:spPr>
    </xdr:pic>
    <xdr:clientData/>
  </xdr:twoCellAnchor>
  <xdr:oneCellAnchor>
    <xdr:from>
      <xdr:col>1</xdr:col>
      <xdr:colOff>161925</xdr:colOff>
      <xdr:row>21</xdr:row>
      <xdr:rowOff>123825</xdr:rowOff>
    </xdr:from>
    <xdr:ext cx="2376000" cy="581026"/>
    <xdr:sp macro="" textlink="">
      <xdr:nvSpPr>
        <xdr:cNvPr id="4" name="TextBox 3">
          <a:extLst>
            <a:ext uri="{FF2B5EF4-FFF2-40B4-BE49-F238E27FC236}">
              <a16:creationId xmlns:a16="http://schemas.microsoft.com/office/drawing/2014/main" id="{0188BC76-5156-4647-9D43-2B8D0392CFDB}"/>
            </a:ext>
          </a:extLst>
        </xdr:cNvPr>
        <xdr:cNvSpPr txBox="1"/>
      </xdr:nvSpPr>
      <xdr:spPr>
        <a:xfrm>
          <a:off x="314325" y="4019550"/>
          <a:ext cx="2376000" cy="581026"/>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wrap="square" lIns="36000" tIns="36000" rIns="36000" bIns="36000" rtlCol="0" anchor="t">
          <a:noAutofit/>
        </a:bodyPr>
        <a:lstStyle/>
        <a:p>
          <a:r>
            <a:rPr lang="en-AU" sz="1000">
              <a:solidFill>
                <a:schemeClr val="lt1"/>
              </a:solidFill>
              <a:effectLst/>
              <a:latin typeface="+mn-lt"/>
              <a:ea typeface="+mn-ea"/>
              <a:cs typeface="+mn-cs"/>
            </a:rPr>
            <a:t>4. Total</a:t>
          </a:r>
          <a:r>
            <a:rPr lang="en-AU" sz="1000" baseline="0">
              <a:solidFill>
                <a:schemeClr val="lt1"/>
              </a:solidFill>
              <a:effectLst/>
              <a:latin typeface="+mn-lt"/>
              <a:ea typeface="+mn-ea"/>
              <a:cs typeface="+mn-cs"/>
            </a:rPr>
            <a:t> potential cost saving by improving  pump efficiency and reducing pipe line friction losses.</a:t>
          </a:r>
          <a:endParaRPr lang="en-AU" sz="1000">
            <a:solidFill>
              <a:schemeClr val="bg1">
                <a:lumMod val="95000"/>
              </a:schemeClr>
            </a:solidFill>
            <a:effectLst/>
          </a:endParaRPr>
        </a:p>
      </xdr:txBody>
    </xdr:sp>
    <xdr:clientData/>
  </xdr:oneCellAnchor>
  <xdr:twoCellAnchor>
    <xdr:from>
      <xdr:col>5</xdr:col>
      <xdr:colOff>40470</xdr:colOff>
      <xdr:row>5</xdr:row>
      <xdr:rowOff>138113</xdr:rowOff>
    </xdr:from>
    <xdr:to>
      <xdr:col>8</xdr:col>
      <xdr:colOff>521970</xdr:colOff>
      <xdr:row>16</xdr:row>
      <xdr:rowOff>28575</xdr:rowOff>
    </xdr:to>
    <xdr:cxnSp macro="">
      <xdr:nvCxnSpPr>
        <xdr:cNvPr id="5" name="Straight Arrow Connector 4">
          <a:extLst>
            <a:ext uri="{FF2B5EF4-FFF2-40B4-BE49-F238E27FC236}">
              <a16:creationId xmlns:a16="http://schemas.microsoft.com/office/drawing/2014/main" id="{AFA8094B-6261-4F61-B787-B55296E1FCDD}"/>
            </a:ext>
          </a:extLst>
        </xdr:cNvPr>
        <xdr:cNvCxnSpPr>
          <a:cxnSpLocks/>
          <a:stCxn id="9" idx="3"/>
        </xdr:cNvCxnSpPr>
      </xdr:nvCxnSpPr>
      <xdr:spPr>
        <a:xfrm>
          <a:off x="2638890" y="953453"/>
          <a:ext cx="2310300" cy="1902142"/>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5</xdr:col>
      <xdr:colOff>99525</xdr:colOff>
      <xdr:row>20</xdr:row>
      <xdr:rowOff>123825</xdr:rowOff>
    </xdr:from>
    <xdr:to>
      <xdr:col>7</xdr:col>
      <xdr:colOff>0</xdr:colOff>
      <xdr:row>23</xdr:row>
      <xdr:rowOff>33338</xdr:rowOff>
    </xdr:to>
    <xdr:cxnSp macro="">
      <xdr:nvCxnSpPr>
        <xdr:cNvPr id="6" name="Straight Arrow Connector 5">
          <a:extLst>
            <a:ext uri="{FF2B5EF4-FFF2-40B4-BE49-F238E27FC236}">
              <a16:creationId xmlns:a16="http://schemas.microsoft.com/office/drawing/2014/main" id="{85964DC3-FB02-4DB0-9DC9-8F31030883C6}"/>
            </a:ext>
          </a:extLst>
        </xdr:cNvPr>
        <xdr:cNvCxnSpPr>
          <a:cxnSpLocks/>
          <a:stCxn id="4" idx="3"/>
        </xdr:cNvCxnSpPr>
      </xdr:nvCxnSpPr>
      <xdr:spPr>
        <a:xfrm flipV="1">
          <a:off x="2690325" y="3829050"/>
          <a:ext cx="1119675" cy="481013"/>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17</xdr:col>
      <xdr:colOff>352425</xdr:colOff>
      <xdr:row>18</xdr:row>
      <xdr:rowOff>55245</xdr:rowOff>
    </xdr:from>
    <xdr:to>
      <xdr:col>18</xdr:col>
      <xdr:colOff>238125</xdr:colOff>
      <xdr:row>21</xdr:row>
      <xdr:rowOff>138112</xdr:rowOff>
    </xdr:to>
    <xdr:cxnSp macro="">
      <xdr:nvCxnSpPr>
        <xdr:cNvPr id="7" name="Straight Arrow Connector 6">
          <a:extLst>
            <a:ext uri="{FF2B5EF4-FFF2-40B4-BE49-F238E27FC236}">
              <a16:creationId xmlns:a16="http://schemas.microsoft.com/office/drawing/2014/main" id="{90B25A66-6285-4E9B-92A3-8D7AE1D64C1B}"/>
            </a:ext>
          </a:extLst>
        </xdr:cNvPr>
        <xdr:cNvCxnSpPr>
          <a:cxnSpLocks/>
          <a:stCxn id="23" idx="1"/>
        </xdr:cNvCxnSpPr>
      </xdr:nvCxnSpPr>
      <xdr:spPr>
        <a:xfrm flipH="1" flipV="1">
          <a:off x="10266045" y="3248025"/>
          <a:ext cx="495300" cy="631507"/>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7</xdr:col>
      <xdr:colOff>204788</xdr:colOff>
      <xdr:row>20</xdr:row>
      <xdr:rowOff>76200</xdr:rowOff>
    </xdr:from>
    <xdr:to>
      <xdr:col>9</xdr:col>
      <xdr:colOff>180975</xdr:colOff>
      <xdr:row>28</xdr:row>
      <xdr:rowOff>47624</xdr:rowOff>
    </xdr:to>
    <xdr:cxnSp macro="">
      <xdr:nvCxnSpPr>
        <xdr:cNvPr id="8" name="Straight Arrow Connector 7">
          <a:extLst>
            <a:ext uri="{FF2B5EF4-FFF2-40B4-BE49-F238E27FC236}">
              <a16:creationId xmlns:a16="http://schemas.microsoft.com/office/drawing/2014/main" id="{D55106E6-C735-44A6-ACDE-6D11514F7029}"/>
            </a:ext>
          </a:extLst>
        </xdr:cNvPr>
        <xdr:cNvCxnSpPr>
          <a:cxnSpLocks/>
          <a:stCxn id="16" idx="0"/>
        </xdr:cNvCxnSpPr>
      </xdr:nvCxnSpPr>
      <xdr:spPr>
        <a:xfrm flipV="1">
          <a:off x="4014788" y="3781425"/>
          <a:ext cx="1195387" cy="1495424"/>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1</xdr:col>
      <xdr:colOff>102870</xdr:colOff>
      <xdr:row>3</xdr:row>
      <xdr:rowOff>123825</xdr:rowOff>
    </xdr:from>
    <xdr:to>
      <xdr:col>5</xdr:col>
      <xdr:colOff>40470</xdr:colOff>
      <xdr:row>7</xdr:row>
      <xdr:rowOff>152401</xdr:rowOff>
    </xdr:to>
    <xdr:sp macro="" textlink="">
      <xdr:nvSpPr>
        <xdr:cNvPr id="9" name="TextBox 9">
          <a:extLst>
            <a:ext uri="{FF2B5EF4-FFF2-40B4-BE49-F238E27FC236}">
              <a16:creationId xmlns:a16="http://schemas.microsoft.com/office/drawing/2014/main" id="{261061BF-41F3-42EE-9F01-5B4A2B8FFA27}"/>
            </a:ext>
          </a:extLst>
        </xdr:cNvPr>
        <xdr:cNvSpPr txBox="1"/>
      </xdr:nvSpPr>
      <xdr:spPr>
        <a:xfrm>
          <a:off x="262890" y="573405"/>
          <a:ext cx="2376000" cy="760096"/>
        </a:xfrm>
        <a:prstGeom prst="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wrap="square" lIns="36000" tIns="36000" rIns="36000" bIns="36000" rtlCol="0" anchor="t">
          <a:noAutofit/>
        </a:bodyPr>
        <a:lstStyle/>
        <a:p>
          <a:r>
            <a:rPr lang="en-AU" sz="1000">
              <a:solidFill>
                <a:schemeClr val="bg1">
                  <a:lumMod val="95000"/>
                </a:schemeClr>
              </a:solidFill>
              <a:effectLst/>
              <a:latin typeface="+mn-lt"/>
              <a:ea typeface="+mn-ea"/>
              <a:cs typeface="+mn-cs"/>
            </a:rPr>
            <a:t>1.</a:t>
          </a:r>
          <a:r>
            <a:rPr lang="en-AU" sz="1000" baseline="0">
              <a:solidFill>
                <a:schemeClr val="bg1">
                  <a:lumMod val="95000"/>
                </a:schemeClr>
              </a:solidFill>
              <a:effectLst/>
              <a:latin typeface="+mn-lt"/>
              <a:ea typeface="+mn-ea"/>
              <a:cs typeface="+mn-cs"/>
            </a:rPr>
            <a:t> Motor load explanation. </a:t>
          </a:r>
        </a:p>
        <a:p>
          <a:r>
            <a:rPr lang="en-AU" sz="1000" baseline="0">
              <a:solidFill>
                <a:schemeClr val="bg1">
                  <a:lumMod val="95000"/>
                </a:schemeClr>
              </a:solidFill>
              <a:effectLst/>
              <a:latin typeface="+mn-lt"/>
              <a:ea typeface="+mn-ea"/>
              <a:cs typeface="+mn-cs"/>
            </a:rPr>
            <a:t>Green = good, load from 50-100%</a:t>
          </a:r>
        </a:p>
        <a:p>
          <a:r>
            <a:rPr lang="en-AU" sz="1000" baseline="0">
              <a:solidFill>
                <a:schemeClr val="bg1">
                  <a:lumMod val="95000"/>
                </a:schemeClr>
              </a:solidFill>
              <a:effectLst/>
              <a:latin typeface="+mn-lt"/>
              <a:ea typeface="+mn-ea"/>
              <a:cs typeface="+mn-cs"/>
            </a:rPr>
            <a:t>Red = poor , load less than 50%</a:t>
          </a:r>
        </a:p>
        <a:p>
          <a:r>
            <a:rPr lang="en-AU" sz="1000" baseline="0">
              <a:solidFill>
                <a:schemeClr val="bg1">
                  <a:lumMod val="95000"/>
                </a:schemeClr>
              </a:solidFill>
              <a:effectLst/>
              <a:latin typeface="+mn-lt"/>
              <a:ea typeface="+mn-ea"/>
              <a:cs typeface="+mn-cs"/>
            </a:rPr>
            <a:t>Yellow = error - load greater than 100%</a:t>
          </a:r>
        </a:p>
        <a:p>
          <a:endParaRPr lang="en-AU" sz="1000" baseline="0">
            <a:solidFill>
              <a:schemeClr val="bg1">
                <a:lumMod val="95000"/>
              </a:schemeClr>
            </a:solidFill>
            <a:effectLst/>
            <a:latin typeface="+mn-lt"/>
            <a:ea typeface="+mn-ea"/>
            <a:cs typeface="+mn-cs"/>
          </a:endParaRPr>
        </a:p>
      </xdr:txBody>
    </xdr:sp>
    <xdr:clientData/>
  </xdr:twoCellAnchor>
  <xdr:twoCellAnchor>
    <xdr:from>
      <xdr:col>5</xdr:col>
      <xdr:colOff>581025</xdr:colOff>
      <xdr:row>28</xdr:row>
      <xdr:rowOff>47624</xdr:rowOff>
    </xdr:from>
    <xdr:to>
      <xdr:col>8</xdr:col>
      <xdr:colOff>438150</xdr:colOff>
      <xdr:row>32</xdr:row>
      <xdr:rowOff>161925</xdr:rowOff>
    </xdr:to>
    <xdr:sp macro="" textlink="">
      <xdr:nvSpPr>
        <xdr:cNvPr id="16" name="TextBox 15">
          <a:extLst>
            <a:ext uri="{FF2B5EF4-FFF2-40B4-BE49-F238E27FC236}">
              <a16:creationId xmlns:a16="http://schemas.microsoft.com/office/drawing/2014/main" id="{22CAE3D3-5D69-4E0D-93F6-92028C7FF9B4}"/>
            </a:ext>
          </a:extLst>
        </xdr:cNvPr>
        <xdr:cNvSpPr txBox="1"/>
      </xdr:nvSpPr>
      <xdr:spPr>
        <a:xfrm>
          <a:off x="3171825" y="5276849"/>
          <a:ext cx="1685925" cy="876301"/>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wrap="square" lIns="36000" tIns="36000" rIns="36000" bIns="36000" rtlCol="0" anchor="t">
          <a:noAutofit/>
        </a:bodyPr>
        <a:lstStyle/>
        <a:p>
          <a:r>
            <a:rPr lang="en-AU" sz="1000">
              <a:solidFill>
                <a:schemeClr val="bg1">
                  <a:lumMod val="95000"/>
                </a:schemeClr>
              </a:solidFill>
              <a:effectLst/>
            </a:rPr>
            <a:t>19.</a:t>
          </a:r>
          <a:r>
            <a:rPr lang="en-AU" sz="1000" baseline="0">
              <a:solidFill>
                <a:schemeClr val="bg1">
                  <a:lumMod val="95000"/>
                </a:schemeClr>
              </a:solidFill>
              <a:effectLst/>
            </a:rPr>
            <a:t> Current pump efficiency </a:t>
          </a:r>
        </a:p>
        <a:p>
          <a:r>
            <a:rPr lang="en-AU" sz="1000" baseline="0">
              <a:solidFill>
                <a:schemeClr val="bg1">
                  <a:lumMod val="95000"/>
                </a:schemeClr>
              </a:solidFill>
              <a:effectLst/>
            </a:rPr>
            <a:t>Red = poor &lt;70%</a:t>
          </a:r>
        </a:p>
        <a:p>
          <a:r>
            <a:rPr lang="en-AU" sz="1000" baseline="0">
              <a:solidFill>
                <a:schemeClr val="lt1"/>
              </a:solidFill>
              <a:effectLst/>
              <a:latin typeface="+mn-lt"/>
              <a:ea typeface="+mn-ea"/>
              <a:cs typeface="+mn-cs"/>
            </a:rPr>
            <a:t>Green</a:t>
          </a:r>
          <a:r>
            <a:rPr lang="en-AU" sz="1000" baseline="0">
              <a:solidFill>
                <a:schemeClr val="bg1">
                  <a:lumMod val="95000"/>
                </a:schemeClr>
              </a:solidFill>
              <a:effectLst/>
            </a:rPr>
            <a:t>= good 70-80%</a:t>
          </a:r>
        </a:p>
        <a:p>
          <a:r>
            <a:rPr lang="en-AU" sz="1000" baseline="0">
              <a:solidFill>
                <a:schemeClr val="bg1">
                  <a:lumMod val="95000"/>
                </a:schemeClr>
              </a:solidFill>
              <a:effectLst/>
            </a:rPr>
            <a:t>Green = Excellent &gt;90%</a:t>
          </a:r>
        </a:p>
        <a:p>
          <a:r>
            <a:rPr lang="en-AU" sz="1000" baseline="0">
              <a:solidFill>
                <a:schemeClr val="bg1">
                  <a:lumMod val="95000"/>
                </a:schemeClr>
              </a:solidFill>
              <a:effectLst/>
            </a:rPr>
            <a:t>Yellow = Error &gt;100%</a:t>
          </a:r>
          <a:endParaRPr lang="en-AU" sz="1000">
            <a:solidFill>
              <a:schemeClr val="bg1">
                <a:lumMod val="95000"/>
              </a:schemeClr>
            </a:solidFill>
            <a:effectLst/>
          </a:endParaRPr>
        </a:p>
      </xdr:txBody>
    </xdr:sp>
    <xdr:clientData/>
  </xdr:twoCellAnchor>
  <xdr:twoCellAnchor>
    <xdr:from>
      <xdr:col>18</xdr:col>
      <xdr:colOff>238125</xdr:colOff>
      <xdr:row>19</xdr:row>
      <xdr:rowOff>74294</xdr:rowOff>
    </xdr:from>
    <xdr:to>
      <xdr:col>22</xdr:col>
      <xdr:colOff>175725</xdr:colOff>
      <xdr:row>24</xdr:row>
      <xdr:rowOff>26670</xdr:rowOff>
    </xdr:to>
    <xdr:sp macro="" textlink="">
      <xdr:nvSpPr>
        <xdr:cNvPr id="23" name="TextBox 18">
          <a:extLst>
            <a:ext uri="{FF2B5EF4-FFF2-40B4-BE49-F238E27FC236}">
              <a16:creationId xmlns:a16="http://schemas.microsoft.com/office/drawing/2014/main" id="{9ED036C4-5FE8-4752-B757-0E58C9D9A5F7}"/>
            </a:ext>
          </a:extLst>
        </xdr:cNvPr>
        <xdr:cNvSpPr txBox="1"/>
      </xdr:nvSpPr>
      <xdr:spPr>
        <a:xfrm>
          <a:off x="10761345" y="3449954"/>
          <a:ext cx="2376000" cy="866776"/>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wrap="square" lIns="36000" tIns="36000" rIns="36000" bIns="36000" rtlCol="0" anchor="t">
          <a:noAutofit/>
        </a:bodyPr>
        <a:lstStyle/>
        <a:p>
          <a:r>
            <a:rPr lang="en-AU" sz="1000">
              <a:solidFill>
                <a:schemeClr val="lt1"/>
              </a:solidFill>
              <a:effectLst/>
              <a:latin typeface="+mn-lt"/>
              <a:ea typeface="+mn-ea"/>
              <a:cs typeface="+mn-cs"/>
            </a:rPr>
            <a:t>7. Warning</a:t>
          </a:r>
          <a:r>
            <a:rPr lang="en-AU" sz="1000" baseline="0">
              <a:solidFill>
                <a:schemeClr val="lt1"/>
              </a:solidFill>
              <a:effectLst/>
              <a:latin typeface="+mn-lt"/>
              <a:ea typeface="+mn-ea"/>
              <a:cs typeface="+mn-cs"/>
            </a:rPr>
            <a:t> shown if gun pressure is too low. Potential energy cost savings are reduced because pressure at the gun should be increased to improve uniformity. This will increase energy costs.</a:t>
          </a:r>
        </a:p>
        <a:p>
          <a:endParaRPr lang="en-AU" sz="1000">
            <a:solidFill>
              <a:schemeClr val="lt1"/>
            </a:solidFill>
            <a:effectLst/>
            <a:latin typeface="+mn-lt"/>
            <a:ea typeface="+mn-ea"/>
            <a:cs typeface="+mn-cs"/>
          </a:endParaRPr>
        </a:p>
      </xdr:txBody>
    </xdr:sp>
    <xdr:clientData/>
  </xdr:twoCellAnchor>
  <xdr:twoCellAnchor>
    <xdr:from>
      <xdr:col>18</xdr:col>
      <xdr:colOff>219074</xdr:colOff>
      <xdr:row>2</xdr:row>
      <xdr:rowOff>152399</xdr:rowOff>
    </xdr:from>
    <xdr:to>
      <xdr:col>22</xdr:col>
      <xdr:colOff>209549</xdr:colOff>
      <xdr:row>7</xdr:row>
      <xdr:rowOff>0</xdr:rowOff>
    </xdr:to>
    <xdr:sp macro="" textlink="">
      <xdr:nvSpPr>
        <xdr:cNvPr id="22" name="TextBox 21">
          <a:extLst>
            <a:ext uri="{FF2B5EF4-FFF2-40B4-BE49-F238E27FC236}">
              <a16:creationId xmlns:a16="http://schemas.microsoft.com/office/drawing/2014/main" id="{2ECC53E6-5343-4C26-9D4A-A747BC25CE0E}"/>
            </a:ext>
          </a:extLst>
        </xdr:cNvPr>
        <xdr:cNvSpPr txBox="1"/>
      </xdr:nvSpPr>
      <xdr:spPr>
        <a:xfrm>
          <a:off x="10734674" y="428624"/>
          <a:ext cx="2428875" cy="800101"/>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wrap="square" lIns="36000" tIns="36000" rIns="36000" bIns="36000" rtlCol="0" anchor="t">
          <a:noAutofit/>
        </a:bodyPr>
        <a:lstStyle/>
        <a:p>
          <a:r>
            <a:rPr lang="en-AU" sz="1000">
              <a:solidFill>
                <a:schemeClr val="bg1">
                  <a:lumMod val="95000"/>
                </a:schemeClr>
              </a:solidFill>
              <a:effectLst/>
            </a:rPr>
            <a:t>5. Warning shown if the  gun</a:t>
          </a:r>
          <a:r>
            <a:rPr lang="en-AU" sz="1000" baseline="0">
              <a:solidFill>
                <a:schemeClr val="bg1">
                  <a:lumMod val="95000"/>
                </a:schemeClr>
              </a:solidFill>
              <a:effectLst/>
            </a:rPr>
            <a:t> pressure is outside the manufacturer's specified operating range. Estimated gun throw distance may be inaccurate. </a:t>
          </a:r>
          <a:endParaRPr lang="en-AU" sz="1000">
            <a:solidFill>
              <a:schemeClr val="bg1">
                <a:lumMod val="95000"/>
              </a:schemeClr>
            </a:solidFill>
            <a:effectLst/>
          </a:endParaRPr>
        </a:p>
      </xdr:txBody>
    </xdr:sp>
    <xdr:clientData/>
  </xdr:twoCellAnchor>
  <xdr:twoCellAnchor>
    <xdr:from>
      <xdr:col>18</xdr:col>
      <xdr:colOff>228599</xdr:colOff>
      <xdr:row>33</xdr:row>
      <xdr:rowOff>97155</xdr:rowOff>
    </xdr:from>
    <xdr:to>
      <xdr:col>22</xdr:col>
      <xdr:colOff>219075</xdr:colOff>
      <xdr:row>36</xdr:row>
      <xdr:rowOff>125731</xdr:rowOff>
    </xdr:to>
    <xdr:sp macro="" textlink="">
      <xdr:nvSpPr>
        <xdr:cNvPr id="28" name="TextBox 25">
          <a:extLst>
            <a:ext uri="{FF2B5EF4-FFF2-40B4-BE49-F238E27FC236}">
              <a16:creationId xmlns:a16="http://schemas.microsoft.com/office/drawing/2014/main" id="{14EDDF53-274F-4C6C-9C42-2CA43AB1F669}"/>
            </a:ext>
          </a:extLst>
        </xdr:cNvPr>
        <xdr:cNvSpPr txBox="1"/>
      </xdr:nvSpPr>
      <xdr:spPr>
        <a:xfrm>
          <a:off x="10751819" y="6033135"/>
          <a:ext cx="2428876" cy="577216"/>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wrap="square" lIns="36000" tIns="36000" rIns="36000" bIns="36000" rtlCol="0" anchor="t">
          <a:noAutofit/>
        </a:bodyPr>
        <a:lstStyle/>
        <a:p>
          <a:r>
            <a:rPr lang="en-AU" sz="1000">
              <a:solidFill>
                <a:schemeClr val="lt1"/>
              </a:solidFill>
              <a:effectLst/>
              <a:latin typeface="+mn-lt"/>
              <a:ea typeface="+mn-ea"/>
              <a:cs typeface="+mn-cs"/>
            </a:rPr>
            <a:t>13. Estimated head</a:t>
          </a:r>
          <a:r>
            <a:rPr lang="en-AU" sz="1000" baseline="0">
              <a:solidFill>
                <a:schemeClr val="lt1"/>
              </a:solidFill>
              <a:effectLst/>
              <a:latin typeface="+mn-lt"/>
              <a:ea typeface="+mn-ea"/>
              <a:cs typeface="+mn-cs"/>
            </a:rPr>
            <a:t> loss in the mainline</a:t>
          </a:r>
        </a:p>
        <a:p>
          <a:r>
            <a:rPr lang="en-AU" sz="1000" baseline="0">
              <a:solidFill>
                <a:schemeClr val="lt1"/>
              </a:solidFill>
              <a:effectLst/>
              <a:latin typeface="+mn-lt"/>
              <a:ea typeface="+mn-ea"/>
              <a:cs typeface="+mn-cs"/>
            </a:rPr>
            <a:t>14. Potential annual cost savings if head loss is reduced to 'target' by increasing pipe size.</a:t>
          </a:r>
        </a:p>
        <a:p>
          <a:pPr marL="0" marR="0" lvl="0" indent="0" defTabSz="914400" eaLnBrk="1" fontAlgn="auto" latinLnBrk="0" hangingPunct="1">
            <a:lnSpc>
              <a:spcPct val="100000"/>
            </a:lnSpc>
            <a:spcBef>
              <a:spcPts val="0"/>
            </a:spcBef>
            <a:spcAft>
              <a:spcPts val="0"/>
            </a:spcAft>
            <a:buClrTx/>
            <a:buSzTx/>
            <a:buFontTx/>
            <a:buNone/>
            <a:tabLst/>
            <a:defRPr/>
          </a:pPr>
          <a:endParaRPr lang="en-AU" sz="1000">
            <a:effectLst/>
          </a:endParaRPr>
        </a:p>
      </xdr:txBody>
    </xdr:sp>
    <xdr:clientData/>
  </xdr:twoCellAnchor>
  <xdr:twoCellAnchor>
    <xdr:from>
      <xdr:col>13</xdr:col>
      <xdr:colOff>390524</xdr:colOff>
      <xdr:row>20</xdr:row>
      <xdr:rowOff>152400</xdr:rowOff>
    </xdr:from>
    <xdr:to>
      <xdr:col>18</xdr:col>
      <xdr:colOff>228599</xdr:colOff>
      <xdr:row>35</xdr:row>
      <xdr:rowOff>20003</xdr:rowOff>
    </xdr:to>
    <xdr:cxnSp macro="">
      <xdr:nvCxnSpPr>
        <xdr:cNvPr id="31" name="Straight Arrow Connector 30">
          <a:extLst>
            <a:ext uri="{FF2B5EF4-FFF2-40B4-BE49-F238E27FC236}">
              <a16:creationId xmlns:a16="http://schemas.microsoft.com/office/drawing/2014/main" id="{D0F312A2-8AEC-4E00-865A-EF8D678378CC}"/>
            </a:ext>
          </a:extLst>
        </xdr:cNvPr>
        <xdr:cNvCxnSpPr>
          <a:cxnSpLocks/>
          <a:stCxn id="28" idx="1"/>
          <a:endCxn id="124" idx="1"/>
        </xdr:cNvCxnSpPr>
      </xdr:nvCxnSpPr>
      <xdr:spPr>
        <a:xfrm flipH="1" flipV="1">
          <a:off x="7865744" y="3710940"/>
          <a:ext cx="2886075" cy="2610803"/>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17</xdr:col>
      <xdr:colOff>390525</xdr:colOff>
      <xdr:row>4</xdr:row>
      <xdr:rowOff>171450</xdr:rowOff>
    </xdr:from>
    <xdr:to>
      <xdr:col>18</xdr:col>
      <xdr:colOff>219074</xdr:colOff>
      <xdr:row>10</xdr:row>
      <xdr:rowOff>123825</xdr:rowOff>
    </xdr:to>
    <xdr:cxnSp macro="">
      <xdr:nvCxnSpPr>
        <xdr:cNvPr id="38" name="Straight Arrow Connector 37">
          <a:extLst>
            <a:ext uri="{FF2B5EF4-FFF2-40B4-BE49-F238E27FC236}">
              <a16:creationId xmlns:a16="http://schemas.microsoft.com/office/drawing/2014/main" id="{8FE029C2-5396-408C-9492-E32A7A63FBA5}"/>
            </a:ext>
          </a:extLst>
        </xdr:cNvPr>
        <xdr:cNvCxnSpPr>
          <a:cxnSpLocks/>
          <a:stCxn id="22" idx="1"/>
          <a:endCxn id="74" idx="3"/>
        </xdr:cNvCxnSpPr>
      </xdr:nvCxnSpPr>
      <xdr:spPr>
        <a:xfrm flipH="1">
          <a:off x="10296525" y="828675"/>
          <a:ext cx="438149" cy="1095375"/>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18</xdr:col>
      <xdr:colOff>257175</xdr:colOff>
      <xdr:row>7</xdr:row>
      <xdr:rowOff>85723</xdr:rowOff>
    </xdr:from>
    <xdr:to>
      <xdr:col>22</xdr:col>
      <xdr:colOff>200025</xdr:colOff>
      <xdr:row>19</xdr:row>
      <xdr:rowOff>45720</xdr:rowOff>
    </xdr:to>
    <xdr:sp macro="" textlink="">
      <xdr:nvSpPr>
        <xdr:cNvPr id="18" name="TextBox 40">
          <a:extLst>
            <a:ext uri="{FF2B5EF4-FFF2-40B4-BE49-F238E27FC236}">
              <a16:creationId xmlns:a16="http://schemas.microsoft.com/office/drawing/2014/main" id="{5D054DD0-EDE7-4242-9D28-D2A71A5EBEA3}"/>
            </a:ext>
          </a:extLst>
        </xdr:cNvPr>
        <xdr:cNvSpPr txBox="1"/>
      </xdr:nvSpPr>
      <xdr:spPr>
        <a:xfrm>
          <a:off x="10780395" y="1266823"/>
          <a:ext cx="2381250" cy="2154557"/>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wrap="square" lIns="36000" tIns="36000" rIns="36000" bIns="36000" rtlCol="0" anchor="t">
          <a:noAutofit/>
        </a:bodyPr>
        <a:lstStyle/>
        <a:p>
          <a:r>
            <a:rPr lang="en-AU" sz="1000">
              <a:solidFill>
                <a:schemeClr val="bg1">
                  <a:lumMod val="95000"/>
                </a:schemeClr>
              </a:solidFill>
              <a:effectLst/>
              <a:latin typeface="+mn-lt"/>
              <a:ea typeface="+mn-ea"/>
              <a:cs typeface="+mn-cs"/>
            </a:rPr>
            <a:t>6.</a:t>
          </a:r>
          <a:r>
            <a:rPr lang="en-AU" sz="1000" baseline="0">
              <a:solidFill>
                <a:schemeClr val="bg1">
                  <a:lumMod val="95000"/>
                </a:schemeClr>
              </a:solidFill>
              <a:effectLst/>
              <a:latin typeface="+mn-lt"/>
              <a:ea typeface="+mn-ea"/>
              <a:cs typeface="+mn-cs"/>
            </a:rPr>
            <a:t> Gun performance notification</a:t>
          </a:r>
        </a:p>
        <a:p>
          <a:r>
            <a:rPr lang="en-AU" sz="1000" baseline="0">
              <a:solidFill>
                <a:schemeClr val="bg1">
                  <a:lumMod val="95000"/>
                </a:schemeClr>
              </a:solidFill>
              <a:effectLst/>
              <a:latin typeface="+mn-lt"/>
              <a:ea typeface="+mn-ea"/>
              <a:cs typeface="+mn-cs"/>
            </a:rPr>
            <a:t>Green - gun pressure is OK, resulting in sufficient water throw distance and overlap</a:t>
          </a:r>
        </a:p>
        <a:p>
          <a:endParaRPr lang="en-AU" sz="1000" baseline="0">
            <a:solidFill>
              <a:schemeClr val="bg1">
                <a:lumMod val="95000"/>
              </a:schemeClr>
            </a:solidFill>
            <a:effectLst/>
            <a:latin typeface="+mn-lt"/>
            <a:ea typeface="+mn-ea"/>
            <a:cs typeface="+mn-cs"/>
          </a:endParaRPr>
        </a:p>
        <a:p>
          <a:r>
            <a:rPr lang="en-AU" sz="1000" baseline="0">
              <a:solidFill>
                <a:schemeClr val="bg1">
                  <a:lumMod val="95000"/>
                </a:schemeClr>
              </a:solidFill>
              <a:effectLst/>
              <a:latin typeface="+mn-lt"/>
              <a:ea typeface="+mn-ea"/>
              <a:cs typeface="+mn-cs"/>
            </a:rPr>
            <a:t>Red - gun pressure is too low, resulting in insufficient water throw distance for hydrant spacing. Potential energy cost savings are reduced because pressure at the gun should be increased to improve uniformity. This will increase energy costs.</a:t>
          </a:r>
        </a:p>
        <a:p>
          <a:endParaRPr lang="en-AU" sz="1000" baseline="0">
            <a:solidFill>
              <a:schemeClr val="bg1">
                <a:lumMod val="95000"/>
              </a:schemeClr>
            </a:solidFill>
            <a:effectLst/>
            <a:latin typeface="+mn-lt"/>
            <a:ea typeface="+mn-ea"/>
            <a:cs typeface="+mn-cs"/>
          </a:endParaRPr>
        </a:p>
        <a:p>
          <a:r>
            <a:rPr lang="en-AU" sz="1000" baseline="0">
              <a:solidFill>
                <a:schemeClr val="bg1">
                  <a:lumMod val="95000"/>
                </a:schemeClr>
              </a:solidFill>
              <a:effectLst/>
              <a:latin typeface="+mn-lt"/>
              <a:ea typeface="+mn-ea"/>
              <a:cs typeface="+mn-cs"/>
            </a:rPr>
            <a:t>Red - gun pressure is too high. Potential energy costs savings are shown in cell X32</a:t>
          </a:r>
        </a:p>
      </xdr:txBody>
    </xdr:sp>
    <xdr:clientData/>
  </xdr:twoCellAnchor>
  <xdr:twoCellAnchor>
    <xdr:from>
      <xdr:col>17</xdr:col>
      <xdr:colOff>352425</xdr:colOff>
      <xdr:row>13</xdr:row>
      <xdr:rowOff>65722</xdr:rowOff>
    </xdr:from>
    <xdr:to>
      <xdr:col>18</xdr:col>
      <xdr:colOff>257175</xdr:colOff>
      <xdr:row>15</xdr:row>
      <xdr:rowOff>180975</xdr:rowOff>
    </xdr:to>
    <xdr:cxnSp macro="">
      <xdr:nvCxnSpPr>
        <xdr:cNvPr id="44" name="Straight Arrow Connector 43">
          <a:extLst>
            <a:ext uri="{FF2B5EF4-FFF2-40B4-BE49-F238E27FC236}">
              <a16:creationId xmlns:a16="http://schemas.microsoft.com/office/drawing/2014/main" id="{F63E8D88-ADEC-4BC4-9568-F699CD4879F2}"/>
            </a:ext>
          </a:extLst>
        </xdr:cNvPr>
        <xdr:cNvCxnSpPr>
          <a:cxnSpLocks/>
          <a:stCxn id="18" idx="1"/>
        </xdr:cNvCxnSpPr>
      </xdr:nvCxnSpPr>
      <xdr:spPr>
        <a:xfrm flipH="1">
          <a:off x="10266045" y="2344102"/>
          <a:ext cx="514350" cy="481013"/>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oneCellAnchor>
    <xdr:from>
      <xdr:col>1</xdr:col>
      <xdr:colOff>114300</xdr:colOff>
      <xdr:row>8</xdr:row>
      <xdr:rowOff>76201</xdr:rowOff>
    </xdr:from>
    <xdr:ext cx="2371725" cy="1114424"/>
    <xdr:sp macro="" textlink="">
      <xdr:nvSpPr>
        <xdr:cNvPr id="11" name="TextBox 55">
          <a:extLst>
            <a:ext uri="{FF2B5EF4-FFF2-40B4-BE49-F238E27FC236}">
              <a16:creationId xmlns:a16="http://schemas.microsoft.com/office/drawing/2014/main" id="{E660E907-0BE6-4F13-9DE2-8761E1A2EA89}"/>
            </a:ext>
          </a:extLst>
        </xdr:cNvPr>
        <xdr:cNvSpPr txBox="1"/>
      </xdr:nvSpPr>
      <xdr:spPr>
        <a:xfrm>
          <a:off x="266700" y="1495426"/>
          <a:ext cx="2371725" cy="1114424"/>
        </a:xfrm>
        <a:prstGeom prst="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wrap="square" lIns="36000" tIns="36000" rIns="36000" bIns="36000" rtlCol="0" anchor="t">
          <a:noAutofit/>
        </a:bodyPr>
        <a:lstStyle/>
        <a:p>
          <a:r>
            <a:rPr lang="en-AU" sz="1000">
              <a:solidFill>
                <a:schemeClr val="bg1">
                  <a:lumMod val="95000"/>
                </a:schemeClr>
              </a:solidFill>
              <a:effectLst/>
              <a:latin typeface="+mn-lt"/>
              <a:ea typeface="+mn-ea"/>
              <a:cs typeface="+mn-cs"/>
            </a:rPr>
            <a:t>2.</a:t>
          </a:r>
          <a:r>
            <a:rPr lang="en-AU" sz="1000" baseline="0">
              <a:solidFill>
                <a:schemeClr val="bg1">
                  <a:lumMod val="95000"/>
                </a:schemeClr>
              </a:solidFill>
              <a:effectLst/>
              <a:latin typeface="+mn-lt"/>
              <a:ea typeface="+mn-ea"/>
              <a:cs typeface="+mn-cs"/>
            </a:rPr>
            <a:t> Estimate of motor load based on motor size and measured power consumption </a:t>
          </a:r>
        </a:p>
        <a:p>
          <a:r>
            <a:rPr lang="en-AU" sz="1000" baseline="0">
              <a:solidFill>
                <a:schemeClr val="bg1">
                  <a:lumMod val="95000"/>
                </a:schemeClr>
              </a:solidFill>
              <a:effectLst/>
              <a:latin typeface="+mn-lt"/>
              <a:ea typeface="+mn-ea"/>
              <a:cs typeface="+mn-cs"/>
            </a:rPr>
            <a:t>(Cell D10).</a:t>
          </a:r>
        </a:p>
        <a:p>
          <a:r>
            <a:rPr lang="en-AU" sz="1000" baseline="0">
              <a:solidFill>
                <a:schemeClr val="bg1">
                  <a:lumMod val="95000"/>
                </a:schemeClr>
              </a:solidFill>
              <a:effectLst/>
              <a:latin typeface="+mn-lt"/>
              <a:ea typeface="+mn-ea"/>
              <a:cs typeface="+mn-cs"/>
            </a:rPr>
            <a:t>Green = good, load from 50-100%</a:t>
          </a:r>
        </a:p>
        <a:p>
          <a:r>
            <a:rPr lang="en-AU" sz="1000" baseline="0">
              <a:solidFill>
                <a:schemeClr val="bg1">
                  <a:lumMod val="95000"/>
                </a:schemeClr>
              </a:solidFill>
              <a:effectLst/>
              <a:latin typeface="+mn-lt"/>
              <a:ea typeface="+mn-ea"/>
              <a:cs typeface="+mn-cs"/>
            </a:rPr>
            <a:t>Red = poor , load less tan 50%</a:t>
          </a:r>
        </a:p>
        <a:p>
          <a:r>
            <a:rPr lang="en-AU" sz="1000" baseline="0">
              <a:solidFill>
                <a:schemeClr val="bg1">
                  <a:lumMod val="95000"/>
                </a:schemeClr>
              </a:solidFill>
              <a:effectLst/>
              <a:latin typeface="+mn-lt"/>
              <a:ea typeface="+mn-ea"/>
              <a:cs typeface="+mn-cs"/>
            </a:rPr>
            <a:t>Yellow = error - load greater than 100%</a:t>
          </a:r>
        </a:p>
      </xdr:txBody>
    </xdr:sp>
    <xdr:clientData/>
  </xdr:oneCellAnchor>
  <xdr:twoCellAnchor>
    <xdr:from>
      <xdr:col>5</xdr:col>
      <xdr:colOff>47625</xdr:colOff>
      <xdr:row>11</xdr:row>
      <xdr:rowOff>61913</xdr:rowOff>
    </xdr:from>
    <xdr:to>
      <xdr:col>7</xdr:col>
      <xdr:colOff>114300</xdr:colOff>
      <xdr:row>18</xdr:row>
      <xdr:rowOff>57150</xdr:rowOff>
    </xdr:to>
    <xdr:cxnSp macro="">
      <xdr:nvCxnSpPr>
        <xdr:cNvPr id="57" name="Straight Arrow Connector 56">
          <a:extLst>
            <a:ext uri="{FF2B5EF4-FFF2-40B4-BE49-F238E27FC236}">
              <a16:creationId xmlns:a16="http://schemas.microsoft.com/office/drawing/2014/main" id="{85ACAA68-D5C6-41A1-BFD6-F86FD49AE0CE}"/>
            </a:ext>
          </a:extLst>
        </xdr:cNvPr>
        <xdr:cNvCxnSpPr>
          <a:stCxn id="11" idx="3"/>
        </xdr:cNvCxnSpPr>
      </xdr:nvCxnSpPr>
      <xdr:spPr>
        <a:xfrm>
          <a:off x="2638425" y="2052638"/>
          <a:ext cx="1285875" cy="1328737"/>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1</xdr:col>
      <xdr:colOff>114300</xdr:colOff>
      <xdr:row>14</xdr:row>
      <xdr:rowOff>152399</xdr:rowOff>
    </xdr:from>
    <xdr:to>
      <xdr:col>5</xdr:col>
      <xdr:colOff>51900</xdr:colOff>
      <xdr:row>20</xdr:row>
      <xdr:rowOff>123824</xdr:rowOff>
    </xdr:to>
    <xdr:sp macro="" textlink="">
      <xdr:nvSpPr>
        <xdr:cNvPr id="14" name="TextBox 61">
          <a:extLst>
            <a:ext uri="{FF2B5EF4-FFF2-40B4-BE49-F238E27FC236}">
              <a16:creationId xmlns:a16="http://schemas.microsoft.com/office/drawing/2014/main" id="{0EB0FC01-379D-4445-88FC-6DC01ABB7C3C}"/>
            </a:ext>
          </a:extLst>
        </xdr:cNvPr>
        <xdr:cNvSpPr txBox="1"/>
      </xdr:nvSpPr>
      <xdr:spPr>
        <a:xfrm>
          <a:off x="266700" y="2714624"/>
          <a:ext cx="2376000" cy="1114425"/>
        </a:xfrm>
        <a:prstGeom prst="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wrap="square" lIns="36000" tIns="36000" rIns="36000" bIns="36000" rtlCol="0" anchor="t">
          <a:noAutofit/>
        </a:bodyPr>
        <a:lstStyle/>
        <a:p>
          <a:r>
            <a:rPr lang="en-AU" sz="1000">
              <a:solidFill>
                <a:schemeClr val="bg1">
                  <a:lumMod val="95000"/>
                </a:schemeClr>
              </a:solidFill>
              <a:effectLst/>
              <a:latin typeface="+mn-lt"/>
              <a:ea typeface="+mn-ea"/>
              <a:cs typeface="+mn-cs"/>
            </a:rPr>
            <a:t>3.</a:t>
          </a:r>
          <a:r>
            <a:rPr lang="en-AU" sz="1000" baseline="0">
              <a:solidFill>
                <a:schemeClr val="bg1">
                  <a:lumMod val="95000"/>
                </a:schemeClr>
              </a:solidFill>
              <a:effectLst/>
              <a:latin typeface="+mn-lt"/>
              <a:ea typeface="+mn-ea"/>
              <a:cs typeface="+mn-cs"/>
            </a:rPr>
            <a:t> Graph showing break down of pumping costs in $/year. </a:t>
          </a:r>
        </a:p>
        <a:p>
          <a:r>
            <a:rPr lang="en-AU" sz="1000" baseline="0">
              <a:solidFill>
                <a:schemeClr val="bg1">
                  <a:lumMod val="95000"/>
                </a:schemeClr>
              </a:solidFill>
              <a:effectLst/>
              <a:latin typeface="+mn-lt"/>
              <a:ea typeface="+mn-ea"/>
              <a:cs typeface="+mn-cs"/>
            </a:rPr>
            <a:t>Column 1 - costs for the current system</a:t>
          </a:r>
        </a:p>
        <a:p>
          <a:r>
            <a:rPr lang="en-AU" sz="1000" baseline="0">
              <a:solidFill>
                <a:schemeClr val="bg1">
                  <a:lumMod val="95000"/>
                </a:schemeClr>
              </a:solidFill>
              <a:effectLst/>
              <a:latin typeface="+mn-lt"/>
              <a:ea typeface="+mn-ea"/>
              <a:cs typeface="+mn-cs"/>
            </a:rPr>
            <a:t>Column 2 - potential costs following modification to improve pump efficiency and pipe line friction losses</a:t>
          </a:r>
        </a:p>
        <a:p>
          <a:endParaRPr lang="en-AU" sz="1000" baseline="0">
            <a:solidFill>
              <a:schemeClr val="bg1">
                <a:lumMod val="95000"/>
              </a:schemeClr>
            </a:solidFill>
            <a:effectLst/>
            <a:latin typeface="+mn-lt"/>
            <a:ea typeface="+mn-ea"/>
            <a:cs typeface="+mn-cs"/>
          </a:endParaRPr>
        </a:p>
        <a:p>
          <a:endParaRPr lang="en-AU" sz="1000" baseline="0">
            <a:solidFill>
              <a:schemeClr val="bg1">
                <a:lumMod val="95000"/>
              </a:schemeClr>
            </a:solidFill>
            <a:effectLst/>
            <a:latin typeface="+mn-lt"/>
            <a:ea typeface="+mn-ea"/>
            <a:cs typeface="+mn-cs"/>
          </a:endParaRPr>
        </a:p>
      </xdr:txBody>
    </xdr:sp>
    <xdr:clientData/>
  </xdr:twoCellAnchor>
  <xdr:twoCellAnchor>
    <xdr:from>
      <xdr:col>5</xdr:col>
      <xdr:colOff>51900</xdr:colOff>
      <xdr:row>17</xdr:row>
      <xdr:rowOff>138112</xdr:rowOff>
    </xdr:from>
    <xdr:to>
      <xdr:col>5</xdr:col>
      <xdr:colOff>594360</xdr:colOff>
      <xdr:row>19</xdr:row>
      <xdr:rowOff>144780</xdr:rowOff>
    </xdr:to>
    <xdr:cxnSp macro="">
      <xdr:nvCxnSpPr>
        <xdr:cNvPr id="63" name="Straight Arrow Connector 62">
          <a:extLst>
            <a:ext uri="{FF2B5EF4-FFF2-40B4-BE49-F238E27FC236}">
              <a16:creationId xmlns:a16="http://schemas.microsoft.com/office/drawing/2014/main" id="{A37B1EFD-C8C1-4FE8-B386-A0C984E64E09}"/>
            </a:ext>
          </a:extLst>
        </xdr:cNvPr>
        <xdr:cNvCxnSpPr>
          <a:cxnSpLocks/>
          <a:stCxn id="14" idx="3"/>
        </xdr:cNvCxnSpPr>
      </xdr:nvCxnSpPr>
      <xdr:spPr>
        <a:xfrm>
          <a:off x="2650320" y="3148012"/>
          <a:ext cx="542460" cy="372428"/>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15</xdr:col>
      <xdr:colOff>428625</xdr:colOff>
      <xdr:row>9</xdr:row>
      <xdr:rowOff>180975</xdr:rowOff>
    </xdr:from>
    <xdr:to>
      <xdr:col>17</xdr:col>
      <xdr:colOff>390525</xdr:colOff>
      <xdr:row>11</xdr:row>
      <xdr:rowOff>66675</xdr:rowOff>
    </xdr:to>
    <xdr:sp macro="" textlink="">
      <xdr:nvSpPr>
        <xdr:cNvPr id="74" name="Rectangle 73">
          <a:extLst>
            <a:ext uri="{FF2B5EF4-FFF2-40B4-BE49-F238E27FC236}">
              <a16:creationId xmlns:a16="http://schemas.microsoft.com/office/drawing/2014/main" id="{53E66881-F4E7-41A1-9169-B15B37613D99}"/>
            </a:ext>
          </a:extLst>
        </xdr:cNvPr>
        <xdr:cNvSpPr/>
      </xdr:nvSpPr>
      <xdr:spPr>
        <a:xfrm>
          <a:off x="9115425" y="1790700"/>
          <a:ext cx="1181100" cy="266700"/>
        </a:xfrm>
        <a:prstGeom prst="rect">
          <a:avLst/>
        </a:prstGeom>
        <a:solidFill>
          <a:srgbClr val="FFAFAF">
            <a:alpha val="57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18</xdr:col>
      <xdr:colOff>219074</xdr:colOff>
      <xdr:row>29</xdr:row>
      <xdr:rowOff>163830</xdr:rowOff>
    </xdr:from>
    <xdr:to>
      <xdr:col>22</xdr:col>
      <xdr:colOff>190499</xdr:colOff>
      <xdr:row>33</xdr:row>
      <xdr:rowOff>1906</xdr:rowOff>
    </xdr:to>
    <xdr:sp macro="" textlink="">
      <xdr:nvSpPr>
        <xdr:cNvPr id="27" name="TextBox 103">
          <a:extLst>
            <a:ext uri="{FF2B5EF4-FFF2-40B4-BE49-F238E27FC236}">
              <a16:creationId xmlns:a16="http://schemas.microsoft.com/office/drawing/2014/main" id="{DDD6730C-2676-4D3F-BE54-1087EBEDD594}"/>
            </a:ext>
          </a:extLst>
        </xdr:cNvPr>
        <xdr:cNvSpPr txBox="1"/>
      </xdr:nvSpPr>
      <xdr:spPr>
        <a:xfrm>
          <a:off x="10742294" y="5368290"/>
          <a:ext cx="2409825" cy="569596"/>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wrap="square" lIns="36000" tIns="36000" rIns="36000" bIns="36000" rtlCol="0" anchor="t">
          <a:noAutofit/>
        </a:bodyPr>
        <a:lstStyle/>
        <a:p>
          <a:r>
            <a:rPr lang="en-AU" sz="1000">
              <a:solidFill>
                <a:schemeClr val="lt1"/>
              </a:solidFill>
              <a:effectLst/>
              <a:latin typeface="+mn-lt"/>
              <a:ea typeface="+mn-ea"/>
              <a:cs typeface="+mn-cs"/>
            </a:rPr>
            <a:t>11. Estimated head</a:t>
          </a:r>
          <a:r>
            <a:rPr lang="en-AU" sz="1000" baseline="0">
              <a:solidFill>
                <a:schemeClr val="lt1"/>
              </a:solidFill>
              <a:effectLst/>
              <a:latin typeface="+mn-lt"/>
              <a:ea typeface="+mn-ea"/>
              <a:cs typeface="+mn-cs"/>
            </a:rPr>
            <a:t> loss in the irrigator hose</a:t>
          </a:r>
        </a:p>
        <a:p>
          <a:r>
            <a:rPr lang="en-AU" sz="1000" baseline="0">
              <a:solidFill>
                <a:schemeClr val="lt1"/>
              </a:solidFill>
              <a:effectLst/>
              <a:latin typeface="+mn-lt"/>
              <a:ea typeface="+mn-ea"/>
              <a:cs typeface="+mn-cs"/>
            </a:rPr>
            <a:t>12. Potential annual cost savings if head loss is reduced to 'target' by increasing pipe size.</a:t>
          </a:r>
        </a:p>
      </xdr:txBody>
    </xdr:sp>
    <xdr:clientData/>
  </xdr:twoCellAnchor>
  <xdr:twoCellAnchor>
    <xdr:from>
      <xdr:col>14</xdr:col>
      <xdr:colOff>380999</xdr:colOff>
      <xdr:row>20</xdr:row>
      <xdr:rowOff>161925</xdr:rowOff>
    </xdr:from>
    <xdr:to>
      <xdr:col>18</xdr:col>
      <xdr:colOff>219074</xdr:colOff>
      <xdr:row>31</xdr:row>
      <xdr:rowOff>82868</xdr:rowOff>
    </xdr:to>
    <xdr:cxnSp macro="">
      <xdr:nvCxnSpPr>
        <xdr:cNvPr id="105" name="Straight Arrow Connector 104">
          <a:extLst>
            <a:ext uri="{FF2B5EF4-FFF2-40B4-BE49-F238E27FC236}">
              <a16:creationId xmlns:a16="http://schemas.microsoft.com/office/drawing/2014/main" id="{BD8B97FC-99AA-4C58-8B4B-E7D46B3D5F44}"/>
            </a:ext>
          </a:extLst>
        </xdr:cNvPr>
        <xdr:cNvCxnSpPr>
          <a:cxnSpLocks/>
          <a:stCxn id="27" idx="1"/>
          <a:endCxn id="122" idx="1"/>
        </xdr:cNvCxnSpPr>
      </xdr:nvCxnSpPr>
      <xdr:spPr>
        <a:xfrm flipH="1" flipV="1">
          <a:off x="8465819" y="3720465"/>
          <a:ext cx="2276475" cy="1932623"/>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18</xdr:col>
      <xdr:colOff>228600</xdr:colOff>
      <xdr:row>24</xdr:row>
      <xdr:rowOff>47624</xdr:rowOff>
    </xdr:from>
    <xdr:to>
      <xdr:col>22</xdr:col>
      <xdr:colOff>166200</xdr:colOff>
      <xdr:row>29</xdr:row>
      <xdr:rowOff>91440</xdr:rowOff>
    </xdr:to>
    <xdr:sp macro="" textlink="">
      <xdr:nvSpPr>
        <xdr:cNvPr id="25" name="TextBox 112">
          <a:extLst>
            <a:ext uri="{FF2B5EF4-FFF2-40B4-BE49-F238E27FC236}">
              <a16:creationId xmlns:a16="http://schemas.microsoft.com/office/drawing/2014/main" id="{485FC2EA-B94B-4708-9AB8-67A11592D7DB}"/>
            </a:ext>
          </a:extLst>
        </xdr:cNvPr>
        <xdr:cNvSpPr txBox="1"/>
      </xdr:nvSpPr>
      <xdr:spPr>
        <a:xfrm>
          <a:off x="10751820" y="4337684"/>
          <a:ext cx="2376000" cy="958216"/>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wrap="square" lIns="36000" tIns="36000" rIns="36000" bIns="36000" rtlCol="0" anchor="t">
          <a:noAutofit/>
        </a:bodyPr>
        <a:lstStyle/>
        <a:p>
          <a:r>
            <a:rPr lang="en-AU" sz="1000">
              <a:solidFill>
                <a:schemeClr val="lt1"/>
              </a:solidFill>
              <a:effectLst/>
              <a:latin typeface="+mn-lt"/>
              <a:ea typeface="+mn-ea"/>
              <a:cs typeface="+mn-cs"/>
            </a:rPr>
            <a:t>8. Current</a:t>
          </a:r>
          <a:r>
            <a:rPr lang="en-AU" sz="1000" baseline="0">
              <a:solidFill>
                <a:schemeClr val="lt1"/>
              </a:solidFill>
              <a:effectLst/>
              <a:latin typeface="+mn-lt"/>
              <a:ea typeface="+mn-ea"/>
              <a:cs typeface="+mn-cs"/>
            </a:rPr>
            <a:t> pressure at gun</a:t>
          </a:r>
        </a:p>
        <a:p>
          <a:r>
            <a:rPr lang="en-AU" sz="1000" baseline="0">
              <a:solidFill>
                <a:schemeClr val="lt1"/>
              </a:solidFill>
              <a:effectLst/>
              <a:latin typeface="+mn-lt"/>
              <a:ea typeface="+mn-ea"/>
              <a:cs typeface="+mn-cs"/>
            </a:rPr>
            <a:t>9. Optimum pressure to achieve required water  throw distance.</a:t>
          </a:r>
        </a:p>
        <a:p>
          <a:pPr marL="0" marR="0" lvl="0" indent="0" defTabSz="914400" eaLnBrk="1" fontAlgn="auto" latinLnBrk="0" hangingPunct="1">
            <a:lnSpc>
              <a:spcPct val="100000"/>
            </a:lnSpc>
            <a:spcBef>
              <a:spcPts val="0"/>
            </a:spcBef>
            <a:spcAft>
              <a:spcPts val="0"/>
            </a:spcAft>
            <a:buClrTx/>
            <a:buSzTx/>
            <a:buFontTx/>
            <a:buNone/>
            <a:tabLst/>
            <a:defRPr/>
          </a:pPr>
          <a:r>
            <a:rPr lang="en-AU" sz="1000" baseline="0">
              <a:solidFill>
                <a:schemeClr val="lt1"/>
              </a:solidFill>
              <a:effectLst/>
              <a:latin typeface="+mn-lt"/>
              <a:ea typeface="+mn-ea"/>
              <a:cs typeface="+mn-cs"/>
            </a:rPr>
            <a:t>10. Potential cost savings (or increase if in red) of achieving optimum pressure at gun.</a:t>
          </a:r>
          <a:endParaRPr lang="en-AU" sz="1000">
            <a:effectLst/>
          </a:endParaRPr>
        </a:p>
      </xdr:txBody>
    </xdr:sp>
    <xdr:clientData/>
  </xdr:twoCellAnchor>
  <xdr:twoCellAnchor>
    <xdr:from>
      <xdr:col>17</xdr:col>
      <xdr:colOff>352424</xdr:colOff>
      <xdr:row>20</xdr:row>
      <xdr:rowOff>161925</xdr:rowOff>
    </xdr:from>
    <xdr:to>
      <xdr:col>18</xdr:col>
      <xdr:colOff>228600</xdr:colOff>
      <xdr:row>26</xdr:row>
      <xdr:rowOff>160972</xdr:rowOff>
    </xdr:to>
    <xdr:cxnSp macro="">
      <xdr:nvCxnSpPr>
        <xdr:cNvPr id="116" name="Straight Arrow Connector 115">
          <a:extLst>
            <a:ext uri="{FF2B5EF4-FFF2-40B4-BE49-F238E27FC236}">
              <a16:creationId xmlns:a16="http://schemas.microsoft.com/office/drawing/2014/main" id="{B0CDD5AC-9A12-484E-A885-CE085BD2CBD7}"/>
            </a:ext>
          </a:extLst>
        </xdr:cNvPr>
        <xdr:cNvCxnSpPr>
          <a:cxnSpLocks/>
          <a:stCxn id="25" idx="1"/>
          <a:endCxn id="120" idx="1"/>
        </xdr:cNvCxnSpPr>
      </xdr:nvCxnSpPr>
      <xdr:spPr>
        <a:xfrm flipH="1" flipV="1">
          <a:off x="10266044" y="3720465"/>
          <a:ext cx="485776" cy="1096327"/>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17</xdr:col>
      <xdr:colOff>190499</xdr:colOff>
      <xdr:row>19</xdr:row>
      <xdr:rowOff>142875</xdr:rowOff>
    </xdr:from>
    <xdr:to>
      <xdr:col>17</xdr:col>
      <xdr:colOff>352424</xdr:colOff>
      <xdr:row>21</xdr:row>
      <xdr:rowOff>180975</xdr:rowOff>
    </xdr:to>
    <xdr:sp macro="" textlink="">
      <xdr:nvSpPr>
        <xdr:cNvPr id="120" name="Left Brace 119">
          <a:extLst>
            <a:ext uri="{FF2B5EF4-FFF2-40B4-BE49-F238E27FC236}">
              <a16:creationId xmlns:a16="http://schemas.microsoft.com/office/drawing/2014/main" id="{68FC6542-2350-449B-9626-81796B5CB7D1}"/>
            </a:ext>
          </a:extLst>
        </xdr:cNvPr>
        <xdr:cNvSpPr/>
      </xdr:nvSpPr>
      <xdr:spPr>
        <a:xfrm flipH="1">
          <a:off x="10096499" y="3657600"/>
          <a:ext cx="161925" cy="419100"/>
        </a:xfrm>
        <a:prstGeom prst="leftBrace">
          <a:avLst/>
        </a:prstGeom>
        <a:noFill/>
        <a:ln w="19050">
          <a:solidFill>
            <a:schemeClr val="accent6">
              <a:lumMod val="75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AU" sz="1100"/>
        </a:p>
      </xdr:txBody>
    </xdr:sp>
    <xdr:clientData/>
  </xdr:twoCellAnchor>
  <xdr:twoCellAnchor>
    <xdr:from>
      <xdr:col>14</xdr:col>
      <xdr:colOff>219074</xdr:colOff>
      <xdr:row>19</xdr:row>
      <xdr:rowOff>142875</xdr:rowOff>
    </xdr:from>
    <xdr:to>
      <xdr:col>14</xdr:col>
      <xdr:colOff>380999</xdr:colOff>
      <xdr:row>21</xdr:row>
      <xdr:rowOff>180975</xdr:rowOff>
    </xdr:to>
    <xdr:sp macro="" textlink="">
      <xdr:nvSpPr>
        <xdr:cNvPr id="122" name="Left Brace 121">
          <a:extLst>
            <a:ext uri="{FF2B5EF4-FFF2-40B4-BE49-F238E27FC236}">
              <a16:creationId xmlns:a16="http://schemas.microsoft.com/office/drawing/2014/main" id="{8A32C870-648C-4F21-A039-0FB0877F5FAB}"/>
            </a:ext>
          </a:extLst>
        </xdr:cNvPr>
        <xdr:cNvSpPr/>
      </xdr:nvSpPr>
      <xdr:spPr>
        <a:xfrm flipH="1">
          <a:off x="8296274" y="3657600"/>
          <a:ext cx="161925" cy="419100"/>
        </a:xfrm>
        <a:prstGeom prst="leftBrace">
          <a:avLst/>
        </a:prstGeom>
        <a:noFill/>
        <a:ln w="19050">
          <a:solidFill>
            <a:schemeClr val="accent6">
              <a:lumMod val="75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AU" sz="1100"/>
        </a:p>
      </xdr:txBody>
    </xdr:sp>
    <xdr:clientData/>
  </xdr:twoCellAnchor>
  <xdr:twoCellAnchor>
    <xdr:from>
      <xdr:col>13</xdr:col>
      <xdr:colOff>228599</xdr:colOff>
      <xdr:row>19</xdr:row>
      <xdr:rowOff>133350</xdr:rowOff>
    </xdr:from>
    <xdr:to>
      <xdr:col>13</xdr:col>
      <xdr:colOff>390524</xdr:colOff>
      <xdr:row>21</xdr:row>
      <xdr:rowOff>171450</xdr:rowOff>
    </xdr:to>
    <xdr:sp macro="" textlink="">
      <xdr:nvSpPr>
        <xdr:cNvPr id="124" name="Left Brace 123">
          <a:extLst>
            <a:ext uri="{FF2B5EF4-FFF2-40B4-BE49-F238E27FC236}">
              <a16:creationId xmlns:a16="http://schemas.microsoft.com/office/drawing/2014/main" id="{82A7E4C2-F872-47B4-808D-E9C4FF5A04A7}"/>
            </a:ext>
          </a:extLst>
        </xdr:cNvPr>
        <xdr:cNvSpPr/>
      </xdr:nvSpPr>
      <xdr:spPr>
        <a:xfrm flipH="1">
          <a:off x="7696199" y="3648075"/>
          <a:ext cx="161925" cy="419100"/>
        </a:xfrm>
        <a:prstGeom prst="leftBrace">
          <a:avLst/>
        </a:prstGeom>
        <a:noFill/>
        <a:ln w="19050">
          <a:solidFill>
            <a:schemeClr val="accent6">
              <a:lumMod val="75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AU" sz="1100"/>
        </a:p>
      </xdr:txBody>
    </xdr:sp>
    <xdr:clientData/>
  </xdr:twoCellAnchor>
  <xdr:twoCellAnchor>
    <xdr:from>
      <xdr:col>11</xdr:col>
      <xdr:colOff>47624</xdr:colOff>
      <xdr:row>19</xdr:row>
      <xdr:rowOff>133350</xdr:rowOff>
    </xdr:from>
    <xdr:to>
      <xdr:col>11</xdr:col>
      <xdr:colOff>209549</xdr:colOff>
      <xdr:row>21</xdr:row>
      <xdr:rowOff>171450</xdr:rowOff>
    </xdr:to>
    <xdr:sp macro="" textlink="">
      <xdr:nvSpPr>
        <xdr:cNvPr id="151" name="Left Brace 150">
          <a:extLst>
            <a:ext uri="{FF2B5EF4-FFF2-40B4-BE49-F238E27FC236}">
              <a16:creationId xmlns:a16="http://schemas.microsoft.com/office/drawing/2014/main" id="{D4485DA8-854D-413B-8795-8FDB98EA7BBF}"/>
            </a:ext>
          </a:extLst>
        </xdr:cNvPr>
        <xdr:cNvSpPr/>
      </xdr:nvSpPr>
      <xdr:spPr>
        <a:xfrm flipH="1">
          <a:off x="6296024" y="3648075"/>
          <a:ext cx="161925" cy="419100"/>
        </a:xfrm>
        <a:prstGeom prst="leftBrace">
          <a:avLst/>
        </a:prstGeom>
        <a:noFill/>
        <a:ln w="19050">
          <a:solidFill>
            <a:schemeClr val="accent6">
              <a:lumMod val="75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AU" sz="1100"/>
        </a:p>
      </xdr:txBody>
    </xdr:sp>
    <xdr:clientData/>
  </xdr:twoCellAnchor>
  <xdr:twoCellAnchor>
    <xdr:from>
      <xdr:col>8</xdr:col>
      <xdr:colOff>523874</xdr:colOff>
      <xdr:row>28</xdr:row>
      <xdr:rowOff>38099</xdr:rowOff>
    </xdr:from>
    <xdr:to>
      <xdr:col>13</xdr:col>
      <xdr:colOff>419099</xdr:colOff>
      <xdr:row>32</xdr:row>
      <xdr:rowOff>171450</xdr:rowOff>
    </xdr:to>
    <xdr:sp macro="" textlink="">
      <xdr:nvSpPr>
        <xdr:cNvPr id="20" name="TextBox 151">
          <a:extLst>
            <a:ext uri="{FF2B5EF4-FFF2-40B4-BE49-F238E27FC236}">
              <a16:creationId xmlns:a16="http://schemas.microsoft.com/office/drawing/2014/main" id="{47979E37-1571-4DA7-B8FC-288C65185328}"/>
            </a:ext>
          </a:extLst>
        </xdr:cNvPr>
        <xdr:cNvSpPr txBox="1"/>
      </xdr:nvSpPr>
      <xdr:spPr>
        <a:xfrm>
          <a:off x="4943474" y="5267324"/>
          <a:ext cx="2943225" cy="895351"/>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wrap="square" lIns="36000" tIns="36000" rIns="36000" bIns="36000" rtlCol="0" anchor="t">
          <a:noAutofit/>
        </a:bodyPr>
        <a:lstStyle/>
        <a:p>
          <a:r>
            <a:rPr lang="en-AU" sz="1000">
              <a:solidFill>
                <a:schemeClr val="bg1">
                  <a:lumMod val="95000"/>
                </a:schemeClr>
              </a:solidFill>
              <a:effectLst/>
            </a:rPr>
            <a:t>16.</a:t>
          </a:r>
          <a:r>
            <a:rPr lang="en-AU" sz="1000" baseline="0">
              <a:solidFill>
                <a:schemeClr val="bg1">
                  <a:lumMod val="95000"/>
                </a:schemeClr>
              </a:solidFill>
              <a:effectLst/>
            </a:rPr>
            <a:t> Pumping costs ($/ML) at current pump efficiency</a:t>
          </a:r>
        </a:p>
        <a:p>
          <a:r>
            <a:rPr lang="en-AU" sz="1000">
              <a:solidFill>
                <a:schemeClr val="bg1">
                  <a:lumMod val="95000"/>
                </a:schemeClr>
              </a:solidFill>
              <a:effectLst/>
            </a:rPr>
            <a:t>17. Pumping costs ($/ML) at target pump efficiency</a:t>
          </a:r>
        </a:p>
        <a:p>
          <a:r>
            <a:rPr lang="en-AU" sz="1000">
              <a:solidFill>
                <a:schemeClr val="bg1">
                  <a:lumMod val="95000"/>
                </a:schemeClr>
              </a:solidFill>
              <a:effectLst/>
            </a:rPr>
            <a:t>18. Potential energy cost savings</a:t>
          </a:r>
          <a:r>
            <a:rPr lang="en-AU" sz="1000" baseline="0">
              <a:solidFill>
                <a:schemeClr val="bg1">
                  <a:lumMod val="95000"/>
                </a:schemeClr>
              </a:solidFill>
              <a:effectLst/>
            </a:rPr>
            <a:t> from improving pump efficiency to target efficiency</a:t>
          </a:r>
          <a:endParaRPr lang="en-AU" sz="1000">
            <a:solidFill>
              <a:schemeClr val="bg1">
                <a:lumMod val="95000"/>
              </a:schemeClr>
            </a:solidFill>
            <a:effectLst/>
          </a:endParaRPr>
        </a:p>
        <a:p>
          <a:endParaRPr lang="en-AU" sz="1000">
            <a:solidFill>
              <a:schemeClr val="bg1">
                <a:lumMod val="95000"/>
              </a:schemeClr>
            </a:solidFill>
            <a:effectLst/>
          </a:endParaRPr>
        </a:p>
      </xdr:txBody>
    </xdr:sp>
    <xdr:clientData/>
  </xdr:twoCellAnchor>
  <xdr:twoCellAnchor>
    <xdr:from>
      <xdr:col>11</xdr:col>
      <xdr:colOff>166687</xdr:colOff>
      <xdr:row>20</xdr:row>
      <xdr:rowOff>152400</xdr:rowOff>
    </xdr:from>
    <xdr:to>
      <xdr:col>11</xdr:col>
      <xdr:colOff>209549</xdr:colOff>
      <xdr:row>28</xdr:row>
      <xdr:rowOff>38099</xdr:rowOff>
    </xdr:to>
    <xdr:cxnSp macro="">
      <xdr:nvCxnSpPr>
        <xdr:cNvPr id="154" name="Straight Arrow Connector 153">
          <a:extLst>
            <a:ext uri="{FF2B5EF4-FFF2-40B4-BE49-F238E27FC236}">
              <a16:creationId xmlns:a16="http://schemas.microsoft.com/office/drawing/2014/main" id="{F5965314-23FD-452F-ACD0-F93888C5CC13}"/>
            </a:ext>
          </a:extLst>
        </xdr:cNvPr>
        <xdr:cNvCxnSpPr>
          <a:cxnSpLocks/>
          <a:stCxn id="20" idx="0"/>
          <a:endCxn id="151" idx="1"/>
        </xdr:cNvCxnSpPr>
      </xdr:nvCxnSpPr>
      <xdr:spPr>
        <a:xfrm flipV="1">
          <a:off x="6415087" y="3857625"/>
          <a:ext cx="42862" cy="1409699"/>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oneCellAnchor>
    <xdr:from>
      <xdr:col>13</xdr:col>
      <xdr:colOff>514350</xdr:colOff>
      <xdr:row>28</xdr:row>
      <xdr:rowOff>38099</xdr:rowOff>
    </xdr:from>
    <xdr:ext cx="1457325" cy="885825"/>
    <xdr:sp macro="" textlink="">
      <xdr:nvSpPr>
        <xdr:cNvPr id="161" name="TextBox 160">
          <a:extLst>
            <a:ext uri="{FF2B5EF4-FFF2-40B4-BE49-F238E27FC236}">
              <a16:creationId xmlns:a16="http://schemas.microsoft.com/office/drawing/2014/main" id="{95044CD5-B638-4B95-A7A5-0AEE66FBEC28}"/>
            </a:ext>
          </a:extLst>
        </xdr:cNvPr>
        <xdr:cNvSpPr txBox="1"/>
      </xdr:nvSpPr>
      <xdr:spPr>
        <a:xfrm>
          <a:off x="7981950" y="5267324"/>
          <a:ext cx="1457325" cy="885825"/>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wrap="square" lIns="36000" tIns="36000" rIns="36000" bIns="36000" rtlCol="0" anchor="t">
          <a:noAutofit/>
        </a:bodyPr>
        <a:lstStyle/>
        <a:p>
          <a:r>
            <a:rPr lang="en-AU" sz="1000">
              <a:solidFill>
                <a:schemeClr val="lt1"/>
              </a:solidFill>
              <a:effectLst/>
              <a:latin typeface="+mn-lt"/>
              <a:ea typeface="+mn-ea"/>
              <a:cs typeface="+mn-cs"/>
            </a:rPr>
            <a:t>15. Total</a:t>
          </a:r>
          <a:r>
            <a:rPr lang="en-AU" sz="1000" baseline="0">
              <a:solidFill>
                <a:schemeClr val="lt1"/>
              </a:solidFill>
              <a:effectLst/>
              <a:latin typeface="+mn-lt"/>
              <a:ea typeface="+mn-ea"/>
              <a:cs typeface="+mn-cs"/>
            </a:rPr>
            <a:t> potential cost saving by improving  pump efficiency and reducing pipe line friction losses.</a:t>
          </a:r>
          <a:endParaRPr lang="en-AU" sz="1000">
            <a:solidFill>
              <a:schemeClr val="bg1">
                <a:lumMod val="95000"/>
              </a:schemeClr>
            </a:solidFill>
            <a:effectLst/>
          </a:endParaRPr>
        </a:p>
      </xdr:txBody>
    </xdr:sp>
    <xdr:clientData/>
  </xdr:oneCellAnchor>
  <xdr:twoCellAnchor>
    <xdr:from>
      <xdr:col>13</xdr:col>
      <xdr:colOff>409575</xdr:colOff>
      <xdr:row>24</xdr:row>
      <xdr:rowOff>19050</xdr:rowOff>
    </xdr:from>
    <xdr:to>
      <xdr:col>15</xdr:col>
      <xdr:colOff>23813</xdr:colOff>
      <xdr:row>28</xdr:row>
      <xdr:rowOff>38099</xdr:rowOff>
    </xdr:to>
    <xdr:cxnSp macro="">
      <xdr:nvCxnSpPr>
        <xdr:cNvPr id="165" name="Straight Arrow Connector 164">
          <a:extLst>
            <a:ext uri="{FF2B5EF4-FFF2-40B4-BE49-F238E27FC236}">
              <a16:creationId xmlns:a16="http://schemas.microsoft.com/office/drawing/2014/main" id="{3AEA45FD-2084-4271-A133-0C1DF8C98E1A}"/>
            </a:ext>
          </a:extLst>
        </xdr:cNvPr>
        <xdr:cNvCxnSpPr>
          <a:cxnSpLocks/>
          <a:stCxn id="161" idx="0"/>
        </xdr:cNvCxnSpPr>
      </xdr:nvCxnSpPr>
      <xdr:spPr>
        <a:xfrm flipH="1" flipV="1">
          <a:off x="7877175" y="4486275"/>
          <a:ext cx="833438" cy="781049"/>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28575</xdr:colOff>
      <xdr:row>7</xdr:row>
      <xdr:rowOff>5851</xdr:rowOff>
    </xdr:from>
    <xdr:to>
      <xdr:col>18</xdr:col>
      <xdr:colOff>485775</xdr:colOff>
      <xdr:row>21</xdr:row>
      <xdr:rowOff>28176</xdr:rowOff>
    </xdr:to>
    <xdr:pic>
      <xdr:nvPicPr>
        <xdr:cNvPr id="36" name="Picture 35">
          <a:extLst>
            <a:ext uri="{FF2B5EF4-FFF2-40B4-BE49-F238E27FC236}">
              <a16:creationId xmlns:a16="http://schemas.microsoft.com/office/drawing/2014/main" id="{001D3077-6694-4B2A-BE83-CC9C22AB8111}"/>
            </a:ext>
          </a:extLst>
        </xdr:cNvPr>
        <xdr:cNvPicPr>
          <a:picLocks noChangeAspect="1"/>
        </xdr:cNvPicPr>
      </xdr:nvPicPr>
      <xdr:blipFill>
        <a:blip xmlns:r="http://schemas.openxmlformats.org/officeDocument/2006/relationships" r:embed="rId1"/>
        <a:stretch>
          <a:fillRect/>
        </a:stretch>
      </xdr:blipFill>
      <xdr:spPr>
        <a:xfrm>
          <a:off x="2619375" y="1234576"/>
          <a:ext cx="8382000" cy="2689325"/>
        </a:xfrm>
        <a:prstGeom prst="rect">
          <a:avLst/>
        </a:prstGeom>
      </xdr:spPr>
    </xdr:pic>
    <xdr:clientData/>
  </xdr:twoCellAnchor>
  <xdr:oneCellAnchor>
    <xdr:from>
      <xdr:col>1</xdr:col>
      <xdr:colOff>9525</xdr:colOff>
      <xdr:row>2</xdr:row>
      <xdr:rowOff>76199</xdr:rowOff>
    </xdr:from>
    <xdr:ext cx="2343150" cy="5438775"/>
    <xdr:sp macro="" textlink="">
      <xdr:nvSpPr>
        <xdr:cNvPr id="2" name="TextBox 1">
          <a:extLst>
            <a:ext uri="{FF2B5EF4-FFF2-40B4-BE49-F238E27FC236}">
              <a16:creationId xmlns:a16="http://schemas.microsoft.com/office/drawing/2014/main" id="{EF9EF468-E24D-40F1-A78B-9B3A93B1AA41}"/>
            </a:ext>
          </a:extLst>
        </xdr:cNvPr>
        <xdr:cNvSpPr txBox="1"/>
      </xdr:nvSpPr>
      <xdr:spPr>
        <a:xfrm>
          <a:off x="161925" y="352424"/>
          <a:ext cx="2343150" cy="5438775"/>
        </a:xfrm>
        <a:prstGeom prst="rect">
          <a:avLst/>
        </a:prstGeom>
      </xdr:spPr>
      <xdr:style>
        <a:lnRef idx="1">
          <a:schemeClr val="accent5"/>
        </a:lnRef>
        <a:fillRef idx="2">
          <a:schemeClr val="accent5"/>
        </a:fillRef>
        <a:effectRef idx="1">
          <a:schemeClr val="accent5"/>
        </a:effectRef>
        <a:fontRef idx="minor">
          <a:schemeClr val="dk1"/>
        </a:fontRef>
      </xdr:style>
      <xdr:txBody>
        <a:bodyPr vertOverflow="clip" horzOverflow="clip" wrap="none" rtlCol="0" anchor="t">
          <a:noAutofit/>
        </a:bodyPr>
        <a:lstStyle/>
        <a:p>
          <a:r>
            <a:rPr lang="en-AU" sz="1100" b="1">
              <a:solidFill>
                <a:schemeClr val="tx2">
                  <a:lumMod val="50000"/>
                </a:schemeClr>
              </a:solidFill>
            </a:rPr>
            <a:t>Data input</a:t>
          </a:r>
        </a:p>
      </xdr:txBody>
    </xdr:sp>
    <xdr:clientData/>
  </xdr:oneCellAnchor>
  <xdr:oneCellAnchor>
    <xdr:from>
      <xdr:col>1</xdr:col>
      <xdr:colOff>19050</xdr:colOff>
      <xdr:row>4</xdr:row>
      <xdr:rowOff>0</xdr:rowOff>
    </xdr:from>
    <xdr:ext cx="2190751" cy="405367"/>
    <xdr:sp macro="" textlink="">
      <xdr:nvSpPr>
        <xdr:cNvPr id="4" name="TextBox 3">
          <a:extLst>
            <a:ext uri="{FF2B5EF4-FFF2-40B4-BE49-F238E27FC236}">
              <a16:creationId xmlns:a16="http://schemas.microsoft.com/office/drawing/2014/main" id="{6C189BE8-B4D1-48AB-A33C-35BB4CD52334}"/>
            </a:ext>
          </a:extLst>
        </xdr:cNvPr>
        <xdr:cNvSpPr txBox="1"/>
      </xdr:nvSpPr>
      <xdr:spPr>
        <a:xfrm>
          <a:off x="171450" y="657225"/>
          <a:ext cx="2190751" cy="405367"/>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r>
            <a:rPr lang="en-AU" sz="1000">
              <a:solidFill>
                <a:schemeClr val="bg1">
                  <a:lumMod val="95000"/>
                </a:schemeClr>
              </a:solidFill>
              <a:effectLst/>
              <a:latin typeface="+mn-lt"/>
              <a:ea typeface="+mn-ea"/>
              <a:cs typeface="+mn-cs"/>
            </a:rPr>
            <a:t>1. Enter</a:t>
          </a:r>
          <a:r>
            <a:rPr lang="en-AU" sz="1000" baseline="0">
              <a:solidFill>
                <a:schemeClr val="bg1">
                  <a:lumMod val="95000"/>
                </a:schemeClr>
              </a:solidFill>
              <a:effectLst/>
              <a:latin typeface="+mn-lt"/>
              <a:ea typeface="+mn-ea"/>
              <a:cs typeface="+mn-cs"/>
            </a:rPr>
            <a:t> the number of travelling irrigators on this system. </a:t>
          </a:r>
          <a:endParaRPr lang="en-AU" sz="1000">
            <a:solidFill>
              <a:schemeClr val="bg1">
                <a:lumMod val="95000"/>
              </a:schemeClr>
            </a:solidFill>
            <a:effectLst/>
          </a:endParaRPr>
        </a:p>
      </xdr:txBody>
    </xdr:sp>
    <xdr:clientData/>
  </xdr:oneCellAnchor>
  <xdr:oneCellAnchor>
    <xdr:from>
      <xdr:col>1</xdr:col>
      <xdr:colOff>19050</xdr:colOff>
      <xdr:row>6</xdr:row>
      <xdr:rowOff>114300</xdr:rowOff>
    </xdr:from>
    <xdr:ext cx="2209800" cy="609600"/>
    <xdr:sp macro="" textlink="">
      <xdr:nvSpPr>
        <xdr:cNvPr id="5" name="TextBox 4">
          <a:extLst>
            <a:ext uri="{FF2B5EF4-FFF2-40B4-BE49-F238E27FC236}">
              <a16:creationId xmlns:a16="http://schemas.microsoft.com/office/drawing/2014/main" id="{B02A4663-3E52-4970-9A3A-C0E1F1A7C212}"/>
            </a:ext>
          </a:extLst>
        </xdr:cNvPr>
        <xdr:cNvSpPr txBox="1"/>
      </xdr:nvSpPr>
      <xdr:spPr>
        <a:xfrm>
          <a:off x="171450" y="1152525"/>
          <a:ext cx="2209800" cy="6096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noAutofit/>
        </a:bodyPr>
        <a:lstStyle/>
        <a:p>
          <a:r>
            <a:rPr lang="en-AU" sz="1000">
              <a:solidFill>
                <a:schemeClr val="lt1"/>
              </a:solidFill>
              <a:effectLst/>
              <a:latin typeface="+mn-lt"/>
              <a:ea typeface="+mn-ea"/>
              <a:cs typeface="+mn-cs"/>
            </a:rPr>
            <a:t>2. Enter</a:t>
          </a:r>
          <a:r>
            <a:rPr lang="en-AU" sz="1000" baseline="0">
              <a:solidFill>
                <a:schemeClr val="lt1"/>
              </a:solidFill>
              <a:effectLst/>
              <a:latin typeface="+mn-lt"/>
              <a:ea typeface="+mn-ea"/>
              <a:cs typeface="+mn-cs"/>
            </a:rPr>
            <a:t> the total area irrigated by the system or crop you will be irrigating this season.</a:t>
          </a:r>
          <a:endParaRPr lang="en-AU" sz="1000">
            <a:solidFill>
              <a:schemeClr val="bg1">
                <a:lumMod val="95000"/>
              </a:schemeClr>
            </a:solidFill>
            <a:effectLst/>
          </a:endParaRPr>
        </a:p>
      </xdr:txBody>
    </xdr:sp>
    <xdr:clientData/>
  </xdr:oneCellAnchor>
  <xdr:oneCellAnchor>
    <xdr:from>
      <xdr:col>1</xdr:col>
      <xdr:colOff>19050</xdr:colOff>
      <xdr:row>10</xdr:row>
      <xdr:rowOff>9525</xdr:rowOff>
    </xdr:from>
    <xdr:ext cx="2209800" cy="1031436"/>
    <xdr:sp macro="" textlink="">
      <xdr:nvSpPr>
        <xdr:cNvPr id="6" name="TextBox 5">
          <a:extLst>
            <a:ext uri="{FF2B5EF4-FFF2-40B4-BE49-F238E27FC236}">
              <a16:creationId xmlns:a16="http://schemas.microsoft.com/office/drawing/2014/main" id="{34794BBF-9E03-43FF-9DA1-039AFFA1BAFA}"/>
            </a:ext>
          </a:extLst>
        </xdr:cNvPr>
        <xdr:cNvSpPr txBox="1"/>
      </xdr:nvSpPr>
      <xdr:spPr>
        <a:xfrm>
          <a:off x="171450" y="1809750"/>
          <a:ext cx="2209800" cy="1031436"/>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r>
            <a:rPr lang="en-AU" sz="1000">
              <a:solidFill>
                <a:schemeClr val="lt1"/>
              </a:solidFill>
              <a:effectLst/>
              <a:latin typeface="+mn-lt"/>
              <a:ea typeface="+mn-ea"/>
              <a:cs typeface="+mn-cs"/>
            </a:rPr>
            <a:t>3. Enter your target application depth. </a:t>
          </a:r>
        </a:p>
        <a:p>
          <a:r>
            <a:rPr lang="en-AU" sz="1000">
              <a:solidFill>
                <a:schemeClr val="lt1"/>
              </a:solidFill>
              <a:effectLst/>
              <a:latin typeface="+mn-lt"/>
              <a:ea typeface="+mn-ea"/>
              <a:cs typeface="+mn-cs"/>
            </a:rPr>
            <a:t>Note:</a:t>
          </a:r>
          <a:r>
            <a:rPr lang="en-AU" sz="1000" baseline="0">
              <a:solidFill>
                <a:schemeClr val="lt1"/>
              </a:solidFill>
              <a:effectLst/>
              <a:latin typeface="+mn-lt"/>
              <a:ea typeface="+mn-ea"/>
              <a:cs typeface="+mn-cs"/>
            </a:rPr>
            <a:t> applying a smaller application depth requires more frequent shifts which reduces your Managed System Capacity or capacity to meet crop water requirements.</a:t>
          </a:r>
          <a:endParaRPr lang="en-AU" sz="1000">
            <a:solidFill>
              <a:schemeClr val="bg1">
                <a:lumMod val="95000"/>
              </a:schemeClr>
            </a:solidFill>
            <a:effectLst/>
          </a:endParaRPr>
        </a:p>
      </xdr:txBody>
    </xdr:sp>
    <xdr:clientData/>
  </xdr:oneCellAnchor>
  <xdr:oneCellAnchor>
    <xdr:from>
      <xdr:col>1</xdr:col>
      <xdr:colOff>19050</xdr:colOff>
      <xdr:row>15</xdr:row>
      <xdr:rowOff>152400</xdr:rowOff>
    </xdr:from>
    <xdr:ext cx="2209800" cy="405367"/>
    <xdr:sp macro="" textlink="">
      <xdr:nvSpPr>
        <xdr:cNvPr id="7" name="TextBox 6">
          <a:extLst>
            <a:ext uri="{FF2B5EF4-FFF2-40B4-BE49-F238E27FC236}">
              <a16:creationId xmlns:a16="http://schemas.microsoft.com/office/drawing/2014/main" id="{00F38109-E0A0-47A0-BEDE-A0447428FC68}"/>
            </a:ext>
          </a:extLst>
        </xdr:cNvPr>
        <xdr:cNvSpPr txBox="1"/>
      </xdr:nvSpPr>
      <xdr:spPr>
        <a:xfrm>
          <a:off x="171450" y="2905125"/>
          <a:ext cx="2209800" cy="405367"/>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r>
            <a:rPr lang="en-AU" sz="1000">
              <a:solidFill>
                <a:schemeClr val="lt1"/>
              </a:solidFill>
              <a:effectLst/>
              <a:latin typeface="+mn-lt"/>
              <a:ea typeface="+mn-ea"/>
              <a:cs typeface="+mn-cs"/>
            </a:rPr>
            <a:t>4. Enter the application efficiency of your system</a:t>
          </a:r>
          <a:r>
            <a:rPr lang="en-AU" sz="1000" baseline="0">
              <a:solidFill>
                <a:schemeClr val="lt1"/>
              </a:solidFill>
              <a:effectLst/>
              <a:latin typeface="+mn-lt"/>
              <a:ea typeface="+mn-ea"/>
              <a:cs typeface="+mn-cs"/>
            </a:rPr>
            <a:t> (75% is assumed).</a:t>
          </a:r>
          <a:endParaRPr lang="en-AU" sz="1000">
            <a:solidFill>
              <a:schemeClr val="bg1">
                <a:lumMod val="95000"/>
              </a:schemeClr>
            </a:solidFill>
            <a:effectLst/>
          </a:endParaRPr>
        </a:p>
      </xdr:txBody>
    </xdr:sp>
    <xdr:clientData/>
  </xdr:oneCellAnchor>
  <xdr:twoCellAnchor>
    <xdr:from>
      <xdr:col>4</xdr:col>
      <xdr:colOff>381001</xdr:colOff>
      <xdr:row>5</xdr:row>
      <xdr:rowOff>12184</xdr:rowOff>
    </xdr:from>
    <xdr:to>
      <xdr:col>9</xdr:col>
      <xdr:colOff>114300</xdr:colOff>
      <xdr:row>10</xdr:row>
      <xdr:rowOff>66675</xdr:rowOff>
    </xdr:to>
    <xdr:cxnSp macro="">
      <xdr:nvCxnSpPr>
        <xdr:cNvPr id="8" name="Straight Arrow Connector 7">
          <a:extLst>
            <a:ext uri="{FF2B5EF4-FFF2-40B4-BE49-F238E27FC236}">
              <a16:creationId xmlns:a16="http://schemas.microsoft.com/office/drawing/2014/main" id="{6D2B6EA0-FB31-4C1B-A66C-E7E577725010}"/>
            </a:ext>
          </a:extLst>
        </xdr:cNvPr>
        <xdr:cNvCxnSpPr>
          <a:stCxn id="4" idx="3"/>
        </xdr:cNvCxnSpPr>
      </xdr:nvCxnSpPr>
      <xdr:spPr>
        <a:xfrm>
          <a:off x="2362201" y="859909"/>
          <a:ext cx="2781299" cy="100699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400050</xdr:colOff>
      <xdr:row>8</xdr:row>
      <xdr:rowOff>38100</xdr:rowOff>
    </xdr:from>
    <xdr:to>
      <xdr:col>9</xdr:col>
      <xdr:colOff>123825</xdr:colOff>
      <xdr:row>11</xdr:row>
      <xdr:rowOff>38100</xdr:rowOff>
    </xdr:to>
    <xdr:cxnSp macro="">
      <xdr:nvCxnSpPr>
        <xdr:cNvPr id="9" name="Straight Arrow Connector 8">
          <a:extLst>
            <a:ext uri="{FF2B5EF4-FFF2-40B4-BE49-F238E27FC236}">
              <a16:creationId xmlns:a16="http://schemas.microsoft.com/office/drawing/2014/main" id="{B4AAE736-2BF1-4D7B-A79F-BB27CB278D9E}"/>
            </a:ext>
          </a:extLst>
        </xdr:cNvPr>
        <xdr:cNvCxnSpPr>
          <a:stCxn id="5" idx="3"/>
        </xdr:cNvCxnSpPr>
      </xdr:nvCxnSpPr>
      <xdr:spPr>
        <a:xfrm>
          <a:off x="2381250" y="1457325"/>
          <a:ext cx="2771775" cy="5715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400050</xdr:colOff>
      <xdr:row>12</xdr:row>
      <xdr:rowOff>9525</xdr:rowOff>
    </xdr:from>
    <xdr:to>
      <xdr:col>9</xdr:col>
      <xdr:colOff>95250</xdr:colOff>
      <xdr:row>12</xdr:row>
      <xdr:rowOff>144243</xdr:rowOff>
    </xdr:to>
    <xdr:cxnSp macro="">
      <xdr:nvCxnSpPr>
        <xdr:cNvPr id="11" name="Straight Arrow Connector 10">
          <a:extLst>
            <a:ext uri="{FF2B5EF4-FFF2-40B4-BE49-F238E27FC236}">
              <a16:creationId xmlns:a16="http://schemas.microsoft.com/office/drawing/2014/main" id="{72C86E6A-12DD-48B3-B005-CFD62F960368}"/>
            </a:ext>
          </a:extLst>
        </xdr:cNvPr>
        <xdr:cNvCxnSpPr>
          <a:stCxn id="6" idx="3"/>
        </xdr:cNvCxnSpPr>
      </xdr:nvCxnSpPr>
      <xdr:spPr>
        <a:xfrm flipV="1">
          <a:off x="2381250" y="2190750"/>
          <a:ext cx="2743200" cy="13471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19050</xdr:colOff>
      <xdr:row>18</xdr:row>
      <xdr:rowOff>76200</xdr:rowOff>
    </xdr:from>
    <xdr:ext cx="2209800" cy="405367"/>
    <xdr:sp macro="" textlink="">
      <xdr:nvSpPr>
        <xdr:cNvPr id="13" name="TextBox 12">
          <a:extLst>
            <a:ext uri="{FF2B5EF4-FFF2-40B4-BE49-F238E27FC236}">
              <a16:creationId xmlns:a16="http://schemas.microsoft.com/office/drawing/2014/main" id="{195A9024-1637-445C-8A26-6C851D5DAD2A}"/>
            </a:ext>
          </a:extLst>
        </xdr:cNvPr>
        <xdr:cNvSpPr txBox="1"/>
      </xdr:nvSpPr>
      <xdr:spPr>
        <a:xfrm>
          <a:off x="171450" y="3400425"/>
          <a:ext cx="2209800" cy="405367"/>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r>
            <a:rPr lang="en-AU" sz="1000">
              <a:solidFill>
                <a:schemeClr val="lt1"/>
              </a:solidFill>
              <a:effectLst/>
              <a:latin typeface="+mn-lt"/>
              <a:ea typeface="+mn-ea"/>
              <a:cs typeface="+mn-cs"/>
            </a:rPr>
            <a:t>5. Enter</a:t>
          </a:r>
          <a:r>
            <a:rPr lang="en-AU" sz="1000" baseline="0">
              <a:solidFill>
                <a:schemeClr val="lt1"/>
              </a:solidFill>
              <a:effectLst/>
              <a:latin typeface="+mn-lt"/>
              <a:ea typeface="+mn-ea"/>
              <a:cs typeface="+mn-cs"/>
            </a:rPr>
            <a:t>  the number of shifts or hydrants being irrigated.</a:t>
          </a:r>
          <a:endParaRPr lang="en-AU" sz="1000">
            <a:solidFill>
              <a:schemeClr val="bg1">
                <a:lumMod val="95000"/>
              </a:schemeClr>
            </a:solidFill>
            <a:effectLst/>
          </a:endParaRPr>
        </a:p>
      </xdr:txBody>
    </xdr:sp>
    <xdr:clientData/>
  </xdr:oneCellAnchor>
  <xdr:twoCellAnchor>
    <xdr:from>
      <xdr:col>4</xdr:col>
      <xdr:colOff>400050</xdr:colOff>
      <xdr:row>14</xdr:row>
      <xdr:rowOff>9525</xdr:rowOff>
    </xdr:from>
    <xdr:to>
      <xdr:col>9</xdr:col>
      <xdr:colOff>85725</xdr:colOff>
      <xdr:row>19</xdr:row>
      <xdr:rowOff>88384</xdr:rowOff>
    </xdr:to>
    <xdr:cxnSp macro="">
      <xdr:nvCxnSpPr>
        <xdr:cNvPr id="15" name="Straight Arrow Connector 14">
          <a:extLst>
            <a:ext uri="{FF2B5EF4-FFF2-40B4-BE49-F238E27FC236}">
              <a16:creationId xmlns:a16="http://schemas.microsoft.com/office/drawing/2014/main" id="{75EEDBE5-2FBF-4ACF-B702-51DA6A37E79F}"/>
            </a:ext>
          </a:extLst>
        </xdr:cNvPr>
        <xdr:cNvCxnSpPr>
          <a:stCxn id="13" idx="3"/>
        </xdr:cNvCxnSpPr>
      </xdr:nvCxnSpPr>
      <xdr:spPr>
        <a:xfrm flipV="1">
          <a:off x="2381250" y="2571750"/>
          <a:ext cx="2733675" cy="103135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400050</xdr:colOff>
      <xdr:row>13</xdr:row>
      <xdr:rowOff>38100</xdr:rowOff>
    </xdr:from>
    <xdr:to>
      <xdr:col>9</xdr:col>
      <xdr:colOff>76200</xdr:colOff>
      <xdr:row>16</xdr:row>
      <xdr:rowOff>164584</xdr:rowOff>
    </xdr:to>
    <xdr:cxnSp macro="">
      <xdr:nvCxnSpPr>
        <xdr:cNvPr id="16" name="Straight Arrow Connector 15">
          <a:extLst>
            <a:ext uri="{FF2B5EF4-FFF2-40B4-BE49-F238E27FC236}">
              <a16:creationId xmlns:a16="http://schemas.microsoft.com/office/drawing/2014/main" id="{6304C0FD-0968-4EF6-9DC5-BF493612D64B}"/>
            </a:ext>
          </a:extLst>
        </xdr:cNvPr>
        <xdr:cNvCxnSpPr>
          <a:stCxn id="7" idx="3"/>
        </xdr:cNvCxnSpPr>
      </xdr:nvCxnSpPr>
      <xdr:spPr>
        <a:xfrm flipV="1">
          <a:off x="2381250" y="2409825"/>
          <a:ext cx="2724150" cy="69798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361949</xdr:colOff>
      <xdr:row>2</xdr:row>
      <xdr:rowOff>57148</xdr:rowOff>
    </xdr:from>
    <xdr:ext cx="2733676" cy="6553201"/>
    <xdr:sp macro="" textlink="">
      <xdr:nvSpPr>
        <xdr:cNvPr id="18" name="TextBox 17">
          <a:extLst>
            <a:ext uri="{FF2B5EF4-FFF2-40B4-BE49-F238E27FC236}">
              <a16:creationId xmlns:a16="http://schemas.microsoft.com/office/drawing/2014/main" id="{9FC671BD-E2C8-4B18-9E72-32EF53BC5AB7}"/>
            </a:ext>
          </a:extLst>
        </xdr:cNvPr>
        <xdr:cNvSpPr txBox="1"/>
      </xdr:nvSpPr>
      <xdr:spPr>
        <a:xfrm>
          <a:off x="10877549" y="333373"/>
          <a:ext cx="2733676" cy="6553201"/>
        </a:xfrm>
        <a:prstGeom prst="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wrap="none" rtlCol="0" anchor="t">
          <a:noAutofit/>
        </a:bodyPr>
        <a:lstStyle/>
        <a:p>
          <a:r>
            <a:rPr lang="en-AU" sz="1100" b="1">
              <a:solidFill>
                <a:schemeClr val="tx2">
                  <a:lumMod val="50000"/>
                </a:schemeClr>
              </a:solidFill>
            </a:rPr>
            <a:t>Interpretation of outputs</a:t>
          </a:r>
        </a:p>
      </xdr:txBody>
    </xdr:sp>
    <xdr:clientData/>
  </xdr:oneCellAnchor>
  <xdr:oneCellAnchor>
    <xdr:from>
      <xdr:col>18</xdr:col>
      <xdr:colOff>447673</xdr:colOff>
      <xdr:row>3</xdr:row>
      <xdr:rowOff>171449</xdr:rowOff>
    </xdr:from>
    <xdr:ext cx="2514602" cy="962025"/>
    <xdr:sp macro="" textlink="">
      <xdr:nvSpPr>
        <xdr:cNvPr id="19" name="TextBox 18">
          <a:extLst>
            <a:ext uri="{FF2B5EF4-FFF2-40B4-BE49-F238E27FC236}">
              <a16:creationId xmlns:a16="http://schemas.microsoft.com/office/drawing/2014/main" id="{6A986AAE-647E-464B-94AB-B3A256BF2AC8}"/>
            </a:ext>
          </a:extLst>
        </xdr:cNvPr>
        <xdr:cNvSpPr txBox="1"/>
      </xdr:nvSpPr>
      <xdr:spPr>
        <a:xfrm>
          <a:off x="10963273" y="638174"/>
          <a:ext cx="2514602" cy="962025"/>
        </a:xfrm>
        <a:prstGeom prst="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wrap="square" rtlCol="0" anchor="t">
          <a:noAutofit/>
        </a:bodyPr>
        <a:lstStyle/>
        <a:p>
          <a:r>
            <a:rPr lang="en-AU" sz="1000">
              <a:solidFill>
                <a:schemeClr val="bg1">
                  <a:lumMod val="95000"/>
                </a:schemeClr>
              </a:solidFill>
              <a:effectLst/>
              <a:latin typeface="+mn-lt"/>
              <a:ea typeface="+mn-ea"/>
              <a:cs typeface="+mn-cs"/>
            </a:rPr>
            <a:t>1. System Capacity is the maximum application depth achievable over the entire irrigated area</a:t>
          </a:r>
          <a:r>
            <a:rPr lang="en-AU" sz="1000" baseline="0">
              <a:solidFill>
                <a:schemeClr val="bg1">
                  <a:lumMod val="95000"/>
                </a:schemeClr>
              </a:solidFill>
              <a:effectLst/>
              <a:latin typeface="+mn-lt"/>
              <a:ea typeface="+mn-ea"/>
              <a:cs typeface="+mn-cs"/>
            </a:rPr>
            <a:t> assuming you can irrigate non-stop,  24 hours per day.</a:t>
          </a:r>
          <a:endParaRPr lang="en-AU" sz="1000">
            <a:solidFill>
              <a:schemeClr val="bg1">
                <a:lumMod val="95000"/>
              </a:schemeClr>
            </a:solidFill>
            <a:effectLst/>
          </a:endParaRPr>
        </a:p>
      </xdr:txBody>
    </xdr:sp>
    <xdr:clientData/>
  </xdr:oneCellAnchor>
  <xdr:oneCellAnchor>
    <xdr:from>
      <xdr:col>18</xdr:col>
      <xdr:colOff>447673</xdr:colOff>
      <xdr:row>9</xdr:row>
      <xdr:rowOff>38099</xdr:rowOff>
    </xdr:from>
    <xdr:ext cx="2486025" cy="847725"/>
    <xdr:sp macro="" textlink="">
      <xdr:nvSpPr>
        <xdr:cNvPr id="20" name="TextBox 19">
          <a:extLst>
            <a:ext uri="{FF2B5EF4-FFF2-40B4-BE49-F238E27FC236}">
              <a16:creationId xmlns:a16="http://schemas.microsoft.com/office/drawing/2014/main" id="{1241ECA1-A2AA-43E8-AB5C-753E8F0FEE7F}"/>
            </a:ext>
          </a:extLst>
        </xdr:cNvPr>
        <xdr:cNvSpPr txBox="1"/>
      </xdr:nvSpPr>
      <xdr:spPr>
        <a:xfrm>
          <a:off x="10963273" y="1647824"/>
          <a:ext cx="2486025" cy="847725"/>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wrap="square" rtlCol="0" anchor="t">
          <a:noAutofit/>
        </a:bodyPr>
        <a:lstStyle/>
        <a:p>
          <a:r>
            <a:rPr lang="en-AU" sz="1000">
              <a:solidFill>
                <a:schemeClr val="lt1"/>
              </a:solidFill>
              <a:effectLst/>
              <a:latin typeface="+mn-lt"/>
              <a:ea typeface="+mn-ea"/>
              <a:cs typeface="+mn-cs"/>
            </a:rPr>
            <a:t>2. System capacity</a:t>
          </a:r>
          <a:r>
            <a:rPr lang="en-AU" sz="1000" baseline="0">
              <a:solidFill>
                <a:schemeClr val="lt1"/>
              </a:solidFill>
              <a:effectLst/>
              <a:latin typeface="+mn-lt"/>
              <a:ea typeface="+mn-ea"/>
              <a:cs typeface="+mn-cs"/>
            </a:rPr>
            <a:t> notification.</a:t>
          </a:r>
        </a:p>
        <a:p>
          <a:r>
            <a:rPr lang="en-AU" sz="1000" baseline="0">
              <a:solidFill>
                <a:schemeClr val="lt1"/>
              </a:solidFill>
              <a:effectLst/>
              <a:latin typeface="+mn-lt"/>
              <a:ea typeface="+mn-ea"/>
              <a:cs typeface="+mn-cs"/>
            </a:rPr>
            <a:t>Green = good</a:t>
          </a:r>
        </a:p>
        <a:p>
          <a:r>
            <a:rPr lang="en-AU" sz="1000" baseline="0">
              <a:solidFill>
                <a:schemeClr val="lt1"/>
              </a:solidFill>
              <a:effectLst/>
              <a:latin typeface="+mn-lt"/>
              <a:ea typeface="+mn-ea"/>
              <a:cs typeface="+mn-cs"/>
            </a:rPr>
            <a:t>Yellow = marginal</a:t>
          </a:r>
        </a:p>
        <a:p>
          <a:r>
            <a:rPr lang="en-AU" sz="1000" baseline="0">
              <a:solidFill>
                <a:schemeClr val="lt1"/>
              </a:solidFill>
              <a:effectLst/>
              <a:latin typeface="+mn-lt"/>
              <a:ea typeface="+mn-ea"/>
              <a:cs typeface="+mn-cs"/>
            </a:rPr>
            <a:t>Red = System capacity too high or too low</a:t>
          </a:r>
          <a:endParaRPr lang="en-AU" sz="1000">
            <a:solidFill>
              <a:schemeClr val="bg1">
                <a:lumMod val="95000"/>
              </a:schemeClr>
            </a:solidFill>
            <a:effectLst/>
          </a:endParaRPr>
        </a:p>
      </xdr:txBody>
    </xdr:sp>
    <xdr:clientData/>
  </xdr:oneCellAnchor>
  <xdr:oneCellAnchor>
    <xdr:from>
      <xdr:col>18</xdr:col>
      <xdr:colOff>447673</xdr:colOff>
      <xdr:row>18</xdr:row>
      <xdr:rowOff>180975</xdr:rowOff>
    </xdr:from>
    <xdr:ext cx="2524126" cy="561885"/>
    <xdr:sp macro="" textlink="">
      <xdr:nvSpPr>
        <xdr:cNvPr id="22" name="TextBox 21">
          <a:extLst>
            <a:ext uri="{FF2B5EF4-FFF2-40B4-BE49-F238E27FC236}">
              <a16:creationId xmlns:a16="http://schemas.microsoft.com/office/drawing/2014/main" id="{E73E5292-4E9D-4B5E-98F6-4495DF70D740}"/>
            </a:ext>
          </a:extLst>
        </xdr:cNvPr>
        <xdr:cNvSpPr txBox="1"/>
      </xdr:nvSpPr>
      <xdr:spPr>
        <a:xfrm>
          <a:off x="10963273" y="3505200"/>
          <a:ext cx="2524126" cy="561885"/>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wrap="square" rtlCol="0" anchor="t">
          <a:spAutoFit/>
        </a:bodyPr>
        <a:lstStyle/>
        <a:p>
          <a:r>
            <a:rPr lang="en-AU" sz="1000">
              <a:solidFill>
                <a:schemeClr val="lt1"/>
              </a:solidFill>
              <a:effectLst/>
              <a:latin typeface="+mn-lt"/>
              <a:ea typeface="+mn-ea"/>
              <a:cs typeface="+mn-cs"/>
            </a:rPr>
            <a:t>4. Average</a:t>
          </a:r>
          <a:r>
            <a:rPr lang="en-AU" sz="1000" baseline="0">
              <a:solidFill>
                <a:schemeClr val="lt1"/>
              </a:solidFill>
              <a:effectLst/>
              <a:latin typeface="+mn-lt"/>
              <a:ea typeface="+mn-ea"/>
              <a:cs typeface="+mn-cs"/>
            </a:rPr>
            <a:t> irrigation time (hours) for each hydrant or run for the entered application depth.</a:t>
          </a:r>
          <a:endParaRPr lang="en-AU" sz="1000">
            <a:solidFill>
              <a:schemeClr val="bg1">
                <a:lumMod val="95000"/>
              </a:schemeClr>
            </a:solidFill>
            <a:effectLst/>
          </a:endParaRPr>
        </a:p>
      </xdr:txBody>
    </xdr:sp>
    <xdr:clientData/>
  </xdr:oneCellAnchor>
  <xdr:oneCellAnchor>
    <xdr:from>
      <xdr:col>18</xdr:col>
      <xdr:colOff>447673</xdr:colOff>
      <xdr:row>22</xdr:row>
      <xdr:rowOff>28575</xdr:rowOff>
    </xdr:from>
    <xdr:ext cx="2486025" cy="405367"/>
    <xdr:sp macro="" textlink="">
      <xdr:nvSpPr>
        <xdr:cNvPr id="23" name="TextBox 22">
          <a:extLst>
            <a:ext uri="{FF2B5EF4-FFF2-40B4-BE49-F238E27FC236}">
              <a16:creationId xmlns:a16="http://schemas.microsoft.com/office/drawing/2014/main" id="{4413A51A-01F3-4D4D-B32D-D4E653CE0DB8}"/>
            </a:ext>
          </a:extLst>
        </xdr:cNvPr>
        <xdr:cNvSpPr txBox="1"/>
      </xdr:nvSpPr>
      <xdr:spPr>
        <a:xfrm>
          <a:off x="10970893" y="3952875"/>
          <a:ext cx="2486025" cy="405367"/>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wrap="square" rtlCol="0" anchor="t">
          <a:spAutoFit/>
        </a:bodyPr>
        <a:lstStyle/>
        <a:p>
          <a:r>
            <a:rPr lang="en-AU" sz="1000">
              <a:solidFill>
                <a:schemeClr val="lt1"/>
              </a:solidFill>
              <a:effectLst/>
              <a:latin typeface="+mn-lt"/>
              <a:ea typeface="+mn-ea"/>
              <a:cs typeface="+mn-cs"/>
            </a:rPr>
            <a:t>5. Run time (days) to irrigate the entire area</a:t>
          </a:r>
          <a:r>
            <a:rPr lang="en-AU" sz="1000" baseline="0">
              <a:solidFill>
                <a:schemeClr val="lt1"/>
              </a:solidFill>
              <a:effectLst/>
              <a:latin typeface="+mn-lt"/>
              <a:ea typeface="+mn-ea"/>
              <a:cs typeface="+mn-cs"/>
            </a:rPr>
            <a:t> once for the entered application depth.</a:t>
          </a:r>
          <a:endParaRPr lang="en-AU" sz="1000">
            <a:solidFill>
              <a:schemeClr val="bg1">
                <a:lumMod val="95000"/>
              </a:schemeClr>
            </a:solidFill>
            <a:effectLst/>
          </a:endParaRPr>
        </a:p>
      </xdr:txBody>
    </xdr:sp>
    <xdr:clientData/>
  </xdr:oneCellAnchor>
  <xdr:twoCellAnchor>
    <xdr:from>
      <xdr:col>14</xdr:col>
      <xdr:colOff>571500</xdr:colOff>
      <xdr:row>6</xdr:row>
      <xdr:rowOff>80962</xdr:rowOff>
    </xdr:from>
    <xdr:to>
      <xdr:col>18</xdr:col>
      <xdr:colOff>447673</xdr:colOff>
      <xdr:row>10</xdr:row>
      <xdr:rowOff>0</xdr:rowOff>
    </xdr:to>
    <xdr:cxnSp macro="">
      <xdr:nvCxnSpPr>
        <xdr:cNvPr id="24" name="Straight Arrow Connector 23">
          <a:extLst>
            <a:ext uri="{FF2B5EF4-FFF2-40B4-BE49-F238E27FC236}">
              <a16:creationId xmlns:a16="http://schemas.microsoft.com/office/drawing/2014/main" id="{902BC27D-8104-4527-BFC1-FFF758EC4270}"/>
            </a:ext>
          </a:extLst>
        </xdr:cNvPr>
        <xdr:cNvCxnSpPr>
          <a:stCxn id="19" idx="1"/>
        </xdr:cNvCxnSpPr>
      </xdr:nvCxnSpPr>
      <xdr:spPr>
        <a:xfrm flipH="1">
          <a:off x="8648700" y="1119187"/>
          <a:ext cx="2314573" cy="681038"/>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18</xdr:col>
      <xdr:colOff>247650</xdr:colOff>
      <xdr:row>11</xdr:row>
      <xdr:rowOff>80962</xdr:rowOff>
    </xdr:from>
    <xdr:to>
      <xdr:col>18</xdr:col>
      <xdr:colOff>447673</xdr:colOff>
      <xdr:row>11</xdr:row>
      <xdr:rowOff>95250</xdr:rowOff>
    </xdr:to>
    <xdr:cxnSp macro="">
      <xdr:nvCxnSpPr>
        <xdr:cNvPr id="25" name="Straight Arrow Connector 24">
          <a:extLst>
            <a:ext uri="{FF2B5EF4-FFF2-40B4-BE49-F238E27FC236}">
              <a16:creationId xmlns:a16="http://schemas.microsoft.com/office/drawing/2014/main" id="{34EBC350-6A2A-42B3-85D5-776064FBA6F8}"/>
            </a:ext>
          </a:extLst>
        </xdr:cNvPr>
        <xdr:cNvCxnSpPr>
          <a:stCxn id="20" idx="1"/>
        </xdr:cNvCxnSpPr>
      </xdr:nvCxnSpPr>
      <xdr:spPr>
        <a:xfrm flipH="1">
          <a:off x="10763250" y="2071687"/>
          <a:ext cx="200023" cy="14288"/>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15</xdr:col>
      <xdr:colOff>19050</xdr:colOff>
      <xdr:row>14</xdr:row>
      <xdr:rowOff>9525</xdr:rowOff>
    </xdr:from>
    <xdr:to>
      <xdr:col>18</xdr:col>
      <xdr:colOff>447673</xdr:colOff>
      <xdr:row>16</xdr:row>
      <xdr:rowOff>85724</xdr:rowOff>
    </xdr:to>
    <xdr:cxnSp macro="">
      <xdr:nvCxnSpPr>
        <xdr:cNvPr id="26" name="Straight Arrow Connector 25">
          <a:extLst>
            <a:ext uri="{FF2B5EF4-FFF2-40B4-BE49-F238E27FC236}">
              <a16:creationId xmlns:a16="http://schemas.microsoft.com/office/drawing/2014/main" id="{DB21E78F-516C-4EE1-B60F-DBEF6808A538}"/>
            </a:ext>
          </a:extLst>
        </xdr:cNvPr>
        <xdr:cNvCxnSpPr>
          <a:stCxn id="67" idx="1"/>
        </xdr:cNvCxnSpPr>
      </xdr:nvCxnSpPr>
      <xdr:spPr>
        <a:xfrm flipH="1" flipV="1">
          <a:off x="8705850" y="2571750"/>
          <a:ext cx="2257423" cy="457199"/>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15</xdr:col>
      <xdr:colOff>304800</xdr:colOff>
      <xdr:row>15</xdr:row>
      <xdr:rowOff>104775</xdr:rowOff>
    </xdr:from>
    <xdr:to>
      <xdr:col>18</xdr:col>
      <xdr:colOff>447673</xdr:colOff>
      <xdr:row>20</xdr:row>
      <xdr:rowOff>80918</xdr:rowOff>
    </xdr:to>
    <xdr:cxnSp macro="">
      <xdr:nvCxnSpPr>
        <xdr:cNvPr id="27" name="Straight Arrow Connector 26">
          <a:extLst>
            <a:ext uri="{FF2B5EF4-FFF2-40B4-BE49-F238E27FC236}">
              <a16:creationId xmlns:a16="http://schemas.microsoft.com/office/drawing/2014/main" id="{1909C896-6350-428C-9C68-5BDEF9E270C9}"/>
            </a:ext>
          </a:extLst>
        </xdr:cNvPr>
        <xdr:cNvCxnSpPr>
          <a:stCxn id="22" idx="1"/>
        </xdr:cNvCxnSpPr>
      </xdr:nvCxnSpPr>
      <xdr:spPr>
        <a:xfrm flipH="1" flipV="1">
          <a:off x="8991600" y="2857500"/>
          <a:ext cx="1971673" cy="928643"/>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15</xdr:col>
      <xdr:colOff>323850</xdr:colOff>
      <xdr:row>16</xdr:row>
      <xdr:rowOff>95250</xdr:rowOff>
    </xdr:from>
    <xdr:to>
      <xdr:col>18</xdr:col>
      <xdr:colOff>447673</xdr:colOff>
      <xdr:row>23</xdr:row>
      <xdr:rowOff>48379</xdr:rowOff>
    </xdr:to>
    <xdr:cxnSp macro="">
      <xdr:nvCxnSpPr>
        <xdr:cNvPr id="28" name="Straight Arrow Connector 27">
          <a:extLst>
            <a:ext uri="{FF2B5EF4-FFF2-40B4-BE49-F238E27FC236}">
              <a16:creationId xmlns:a16="http://schemas.microsoft.com/office/drawing/2014/main" id="{D72B321F-DA75-477D-9220-55AB9391FCF1}"/>
            </a:ext>
          </a:extLst>
        </xdr:cNvPr>
        <xdr:cNvCxnSpPr>
          <a:stCxn id="23" idx="1"/>
        </xdr:cNvCxnSpPr>
      </xdr:nvCxnSpPr>
      <xdr:spPr>
        <a:xfrm flipH="1" flipV="1">
          <a:off x="9018270" y="2922270"/>
          <a:ext cx="1952623" cy="1233289"/>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oneCellAnchor>
    <xdr:from>
      <xdr:col>18</xdr:col>
      <xdr:colOff>447673</xdr:colOff>
      <xdr:row>24</xdr:row>
      <xdr:rowOff>123825</xdr:rowOff>
    </xdr:from>
    <xdr:ext cx="2533650" cy="561885"/>
    <xdr:sp macro="" textlink="">
      <xdr:nvSpPr>
        <xdr:cNvPr id="29" name="TextBox 28">
          <a:extLst>
            <a:ext uri="{FF2B5EF4-FFF2-40B4-BE49-F238E27FC236}">
              <a16:creationId xmlns:a16="http://schemas.microsoft.com/office/drawing/2014/main" id="{82439643-D22A-41D1-8032-2EC2E969EC0F}"/>
            </a:ext>
          </a:extLst>
        </xdr:cNvPr>
        <xdr:cNvSpPr txBox="1"/>
      </xdr:nvSpPr>
      <xdr:spPr>
        <a:xfrm>
          <a:off x="10963273" y="4591050"/>
          <a:ext cx="2533650" cy="561885"/>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wrap="square" rtlCol="0" anchor="t">
          <a:spAutoFit/>
        </a:bodyPr>
        <a:lstStyle/>
        <a:p>
          <a:r>
            <a:rPr lang="en-AU" sz="1000">
              <a:solidFill>
                <a:schemeClr val="lt1"/>
              </a:solidFill>
              <a:effectLst/>
              <a:latin typeface="+mn-lt"/>
              <a:ea typeface="+mn-ea"/>
              <a:cs typeface="+mn-cs"/>
            </a:rPr>
            <a:t>6. Number of hours spent moving the machine between shifts to irrigate the entire area once</a:t>
          </a:r>
          <a:endParaRPr lang="en-AU" sz="1000">
            <a:solidFill>
              <a:schemeClr val="bg1">
                <a:lumMod val="95000"/>
              </a:schemeClr>
            </a:solidFill>
            <a:effectLst/>
          </a:endParaRPr>
        </a:p>
      </xdr:txBody>
    </xdr:sp>
    <xdr:clientData/>
  </xdr:oneCellAnchor>
  <xdr:oneCellAnchor>
    <xdr:from>
      <xdr:col>18</xdr:col>
      <xdr:colOff>447673</xdr:colOff>
      <xdr:row>28</xdr:row>
      <xdr:rowOff>0</xdr:rowOff>
    </xdr:from>
    <xdr:ext cx="2495550" cy="561885"/>
    <xdr:sp macro="" textlink="">
      <xdr:nvSpPr>
        <xdr:cNvPr id="30" name="TextBox 29">
          <a:extLst>
            <a:ext uri="{FF2B5EF4-FFF2-40B4-BE49-F238E27FC236}">
              <a16:creationId xmlns:a16="http://schemas.microsoft.com/office/drawing/2014/main" id="{C434E5B0-4B8F-4C78-A716-C4D83DEF8528}"/>
            </a:ext>
          </a:extLst>
        </xdr:cNvPr>
        <xdr:cNvSpPr txBox="1"/>
      </xdr:nvSpPr>
      <xdr:spPr>
        <a:xfrm>
          <a:off x="10963273" y="5229225"/>
          <a:ext cx="2495550" cy="561885"/>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wrap="square" rtlCol="0" anchor="t">
          <a:spAutoFit/>
        </a:bodyPr>
        <a:lstStyle/>
        <a:p>
          <a:r>
            <a:rPr lang="en-AU" sz="1000">
              <a:solidFill>
                <a:schemeClr val="lt1"/>
              </a:solidFill>
              <a:effectLst/>
              <a:latin typeface="+mn-lt"/>
              <a:ea typeface="+mn-ea"/>
              <a:cs typeface="+mn-cs"/>
            </a:rPr>
            <a:t>7. Total time required to irrigate the entire area</a:t>
          </a:r>
          <a:r>
            <a:rPr lang="en-AU" sz="1000" baseline="0">
              <a:solidFill>
                <a:schemeClr val="lt1"/>
              </a:solidFill>
              <a:effectLst/>
              <a:latin typeface="+mn-lt"/>
              <a:ea typeface="+mn-ea"/>
              <a:cs typeface="+mn-cs"/>
            </a:rPr>
            <a:t> including shifting the machine between hydrants.</a:t>
          </a:r>
          <a:endParaRPr lang="en-AU" sz="1000">
            <a:solidFill>
              <a:schemeClr val="bg1">
                <a:lumMod val="95000"/>
              </a:schemeClr>
            </a:solidFill>
            <a:effectLst/>
          </a:endParaRPr>
        </a:p>
      </xdr:txBody>
    </xdr:sp>
    <xdr:clientData/>
  </xdr:oneCellAnchor>
  <xdr:twoCellAnchor>
    <xdr:from>
      <xdr:col>15</xdr:col>
      <xdr:colOff>323850</xdr:colOff>
      <xdr:row>17</xdr:row>
      <xdr:rowOff>57150</xdr:rowOff>
    </xdr:from>
    <xdr:to>
      <xdr:col>18</xdr:col>
      <xdr:colOff>447673</xdr:colOff>
      <xdr:row>26</xdr:row>
      <xdr:rowOff>23768</xdr:rowOff>
    </xdr:to>
    <xdr:cxnSp macro="">
      <xdr:nvCxnSpPr>
        <xdr:cNvPr id="31" name="Straight Arrow Connector 30">
          <a:extLst>
            <a:ext uri="{FF2B5EF4-FFF2-40B4-BE49-F238E27FC236}">
              <a16:creationId xmlns:a16="http://schemas.microsoft.com/office/drawing/2014/main" id="{1C9EA941-76ED-47DA-8CFC-4A365198E44D}"/>
            </a:ext>
          </a:extLst>
        </xdr:cNvPr>
        <xdr:cNvCxnSpPr>
          <a:stCxn id="29" idx="1"/>
        </xdr:cNvCxnSpPr>
      </xdr:nvCxnSpPr>
      <xdr:spPr>
        <a:xfrm flipH="1" flipV="1">
          <a:off x="9010650" y="3190875"/>
          <a:ext cx="1952623" cy="1681118"/>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15</xdr:col>
      <xdr:colOff>333375</xdr:colOff>
      <xdr:row>18</xdr:row>
      <xdr:rowOff>95250</xdr:rowOff>
    </xdr:from>
    <xdr:to>
      <xdr:col>18</xdr:col>
      <xdr:colOff>447673</xdr:colOff>
      <xdr:row>29</xdr:row>
      <xdr:rowOff>90443</xdr:rowOff>
    </xdr:to>
    <xdr:cxnSp macro="">
      <xdr:nvCxnSpPr>
        <xdr:cNvPr id="32" name="Straight Arrow Connector 31">
          <a:extLst>
            <a:ext uri="{FF2B5EF4-FFF2-40B4-BE49-F238E27FC236}">
              <a16:creationId xmlns:a16="http://schemas.microsoft.com/office/drawing/2014/main" id="{FA232E66-FF91-4872-A427-073DFD03D63F}"/>
            </a:ext>
          </a:extLst>
        </xdr:cNvPr>
        <xdr:cNvCxnSpPr>
          <a:stCxn id="30" idx="1"/>
        </xdr:cNvCxnSpPr>
      </xdr:nvCxnSpPr>
      <xdr:spPr>
        <a:xfrm flipH="1" flipV="1">
          <a:off x="9020175" y="3419475"/>
          <a:ext cx="1943098" cy="2090693"/>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oneCellAnchor>
    <xdr:from>
      <xdr:col>1</xdr:col>
      <xdr:colOff>19050</xdr:colOff>
      <xdr:row>21</xdr:row>
      <xdr:rowOff>19050</xdr:rowOff>
    </xdr:from>
    <xdr:ext cx="2209800" cy="405367"/>
    <xdr:sp macro="" textlink="">
      <xdr:nvSpPr>
        <xdr:cNvPr id="33" name="TextBox 32">
          <a:extLst>
            <a:ext uri="{FF2B5EF4-FFF2-40B4-BE49-F238E27FC236}">
              <a16:creationId xmlns:a16="http://schemas.microsoft.com/office/drawing/2014/main" id="{41DAA060-A0C5-4D9E-BD30-D4B9D4D8E6C3}"/>
            </a:ext>
          </a:extLst>
        </xdr:cNvPr>
        <xdr:cNvSpPr txBox="1"/>
      </xdr:nvSpPr>
      <xdr:spPr>
        <a:xfrm>
          <a:off x="171450" y="3914775"/>
          <a:ext cx="2209800" cy="405367"/>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r>
            <a:rPr lang="en-AU" sz="1000">
              <a:solidFill>
                <a:schemeClr val="lt1"/>
              </a:solidFill>
              <a:effectLst/>
              <a:latin typeface="+mn-lt"/>
              <a:ea typeface="+mn-ea"/>
              <a:cs typeface="+mn-cs"/>
            </a:rPr>
            <a:t>6. Enter the time taken (hours) to shift</a:t>
          </a:r>
          <a:r>
            <a:rPr lang="en-AU" sz="1000" baseline="0">
              <a:solidFill>
                <a:schemeClr val="lt1"/>
              </a:solidFill>
              <a:effectLst/>
              <a:latin typeface="+mn-lt"/>
              <a:ea typeface="+mn-ea"/>
              <a:cs typeface="+mn-cs"/>
            </a:rPr>
            <a:t> the irrigator between runs or hydrants</a:t>
          </a:r>
          <a:endParaRPr lang="en-AU" sz="1000">
            <a:solidFill>
              <a:schemeClr val="bg1">
                <a:lumMod val="95000"/>
              </a:schemeClr>
            </a:solidFill>
            <a:effectLst/>
          </a:endParaRPr>
        </a:p>
      </xdr:txBody>
    </xdr:sp>
    <xdr:clientData/>
  </xdr:oneCellAnchor>
  <xdr:twoCellAnchor>
    <xdr:from>
      <xdr:col>4</xdr:col>
      <xdr:colOff>400050</xdr:colOff>
      <xdr:row>14</xdr:row>
      <xdr:rowOff>171450</xdr:rowOff>
    </xdr:from>
    <xdr:to>
      <xdr:col>9</xdr:col>
      <xdr:colOff>104775</xdr:colOff>
      <xdr:row>22</xdr:row>
      <xdr:rowOff>31234</xdr:rowOff>
    </xdr:to>
    <xdr:cxnSp macro="">
      <xdr:nvCxnSpPr>
        <xdr:cNvPr id="45" name="Straight Arrow Connector 44">
          <a:extLst>
            <a:ext uri="{FF2B5EF4-FFF2-40B4-BE49-F238E27FC236}">
              <a16:creationId xmlns:a16="http://schemas.microsoft.com/office/drawing/2014/main" id="{6F53761B-4A56-4426-A599-8DE4D9A70F9D}"/>
            </a:ext>
          </a:extLst>
        </xdr:cNvPr>
        <xdr:cNvCxnSpPr>
          <a:stCxn id="33" idx="3"/>
        </xdr:cNvCxnSpPr>
      </xdr:nvCxnSpPr>
      <xdr:spPr>
        <a:xfrm flipV="1">
          <a:off x="2381250" y="2733675"/>
          <a:ext cx="2752725" cy="138378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19050</xdr:colOff>
      <xdr:row>23</xdr:row>
      <xdr:rowOff>142875</xdr:rowOff>
    </xdr:from>
    <xdr:ext cx="2209800" cy="874920"/>
    <xdr:sp macro="" textlink="">
      <xdr:nvSpPr>
        <xdr:cNvPr id="49" name="TextBox 48">
          <a:extLst>
            <a:ext uri="{FF2B5EF4-FFF2-40B4-BE49-F238E27FC236}">
              <a16:creationId xmlns:a16="http://schemas.microsoft.com/office/drawing/2014/main" id="{7732B261-0580-4F5E-9590-C4A0A5F7F7EE}"/>
            </a:ext>
          </a:extLst>
        </xdr:cNvPr>
        <xdr:cNvSpPr txBox="1"/>
      </xdr:nvSpPr>
      <xdr:spPr>
        <a:xfrm>
          <a:off x="179070" y="4250055"/>
          <a:ext cx="2209800" cy="87492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spAutoFit/>
        </a:bodyPr>
        <a:lstStyle/>
        <a:p>
          <a:r>
            <a:rPr lang="en-AU" sz="1000">
              <a:solidFill>
                <a:schemeClr val="lt1"/>
              </a:solidFill>
              <a:effectLst/>
              <a:latin typeface="+mn-lt"/>
              <a:ea typeface="+mn-ea"/>
              <a:cs typeface="+mn-cs"/>
            </a:rPr>
            <a:t>6. Enter other time lost (hours/day) when you cannot irrigate.</a:t>
          </a:r>
          <a:r>
            <a:rPr lang="en-AU" sz="1000" baseline="0">
              <a:solidFill>
                <a:schemeClr val="lt1"/>
              </a:solidFill>
              <a:effectLst/>
              <a:latin typeface="+mn-lt"/>
              <a:ea typeface="+mn-ea"/>
              <a:cs typeface="+mn-cs"/>
            </a:rPr>
            <a:t> This could be </a:t>
          </a:r>
          <a:r>
            <a:rPr lang="en-AU" sz="1000">
              <a:solidFill>
                <a:schemeClr val="lt1"/>
              </a:solidFill>
              <a:effectLst/>
              <a:latin typeface="+mn-lt"/>
              <a:ea typeface="+mn-ea"/>
              <a:cs typeface="+mn-cs"/>
            </a:rPr>
            <a:t>caused</a:t>
          </a:r>
          <a:r>
            <a:rPr lang="en-AU" sz="1000" baseline="0">
              <a:solidFill>
                <a:schemeClr val="lt1"/>
              </a:solidFill>
              <a:effectLst/>
              <a:latin typeface="+mn-lt"/>
              <a:ea typeface="+mn-ea"/>
              <a:cs typeface="+mn-cs"/>
            </a:rPr>
            <a:t> by maintenance, breakdowns, limited pumping hours, machinery or stock movements, etc. </a:t>
          </a:r>
          <a:endParaRPr lang="en-AU" sz="1000">
            <a:solidFill>
              <a:schemeClr val="bg1">
                <a:lumMod val="95000"/>
              </a:schemeClr>
            </a:solidFill>
            <a:effectLst/>
          </a:endParaRPr>
        </a:p>
      </xdr:txBody>
    </xdr:sp>
    <xdr:clientData/>
  </xdr:oneCellAnchor>
  <xdr:twoCellAnchor>
    <xdr:from>
      <xdr:col>4</xdr:col>
      <xdr:colOff>400050</xdr:colOff>
      <xdr:row>15</xdr:row>
      <xdr:rowOff>142875</xdr:rowOff>
    </xdr:from>
    <xdr:to>
      <xdr:col>9</xdr:col>
      <xdr:colOff>95250</xdr:colOff>
      <xdr:row>26</xdr:row>
      <xdr:rowOff>31695</xdr:rowOff>
    </xdr:to>
    <xdr:cxnSp macro="">
      <xdr:nvCxnSpPr>
        <xdr:cNvPr id="50" name="Straight Arrow Connector 49">
          <a:extLst>
            <a:ext uri="{FF2B5EF4-FFF2-40B4-BE49-F238E27FC236}">
              <a16:creationId xmlns:a16="http://schemas.microsoft.com/office/drawing/2014/main" id="{FD535C3A-FD89-46F0-A3CC-B6C83C0DFDEA}"/>
            </a:ext>
          </a:extLst>
        </xdr:cNvPr>
        <xdr:cNvCxnSpPr>
          <a:stCxn id="49" idx="3"/>
        </xdr:cNvCxnSpPr>
      </xdr:nvCxnSpPr>
      <xdr:spPr>
        <a:xfrm flipV="1">
          <a:off x="2388870" y="2787015"/>
          <a:ext cx="2743200" cy="19005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447673</xdr:colOff>
      <xdr:row>14</xdr:row>
      <xdr:rowOff>19048</xdr:rowOff>
    </xdr:from>
    <xdr:ext cx="2514602" cy="895351"/>
    <xdr:sp macro="" textlink="">
      <xdr:nvSpPr>
        <xdr:cNvPr id="67" name="TextBox 66">
          <a:extLst>
            <a:ext uri="{FF2B5EF4-FFF2-40B4-BE49-F238E27FC236}">
              <a16:creationId xmlns:a16="http://schemas.microsoft.com/office/drawing/2014/main" id="{B9CEE090-D30A-444A-B675-0D42A431A87F}"/>
            </a:ext>
          </a:extLst>
        </xdr:cNvPr>
        <xdr:cNvSpPr txBox="1"/>
      </xdr:nvSpPr>
      <xdr:spPr>
        <a:xfrm>
          <a:off x="10963273" y="2581273"/>
          <a:ext cx="2514602" cy="895351"/>
        </a:xfrm>
        <a:prstGeom prst="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wrap="square" rtlCol="0" anchor="t">
          <a:noAutofit/>
        </a:bodyPr>
        <a:lstStyle/>
        <a:p>
          <a:r>
            <a:rPr lang="en-AU" sz="1000">
              <a:solidFill>
                <a:schemeClr val="bg1">
                  <a:lumMod val="95000"/>
                </a:schemeClr>
              </a:solidFill>
              <a:effectLst/>
              <a:latin typeface="+mn-lt"/>
              <a:ea typeface="+mn-ea"/>
              <a:cs typeface="+mn-cs"/>
            </a:rPr>
            <a:t>3. Managed System Capacity is the maximum application depth achievable over the entire irrigated area</a:t>
          </a:r>
          <a:r>
            <a:rPr lang="en-AU" sz="1000" baseline="0">
              <a:solidFill>
                <a:schemeClr val="bg1">
                  <a:lumMod val="95000"/>
                </a:schemeClr>
              </a:solidFill>
              <a:effectLst/>
              <a:latin typeface="+mn-lt"/>
              <a:ea typeface="+mn-ea"/>
              <a:cs typeface="+mn-cs"/>
            </a:rPr>
            <a:t> taking into account you cannot irrigate 24 hours per day due to irrigator shifts and other down time.</a:t>
          </a:r>
          <a:endParaRPr lang="en-AU" sz="1000">
            <a:solidFill>
              <a:schemeClr val="bg1">
                <a:lumMod val="95000"/>
              </a:schemeClr>
            </a:solidFill>
            <a:effectLst/>
          </a:endParaRPr>
        </a:p>
      </xdr:txBody>
    </xdr:sp>
    <xdr:clientData/>
  </xdr:oneCellAnchor>
  <xdr:oneCellAnchor>
    <xdr:from>
      <xdr:col>18</xdr:col>
      <xdr:colOff>447673</xdr:colOff>
      <xdr:row>31</xdr:row>
      <xdr:rowOff>57150</xdr:rowOff>
    </xdr:from>
    <xdr:ext cx="2495550" cy="874920"/>
    <xdr:sp macro="" textlink="">
      <xdr:nvSpPr>
        <xdr:cNvPr id="81" name="TextBox 80">
          <a:extLst>
            <a:ext uri="{FF2B5EF4-FFF2-40B4-BE49-F238E27FC236}">
              <a16:creationId xmlns:a16="http://schemas.microsoft.com/office/drawing/2014/main" id="{0435D884-3AB0-4D4A-ADB0-AA5FF5C22574}"/>
            </a:ext>
          </a:extLst>
        </xdr:cNvPr>
        <xdr:cNvSpPr txBox="1"/>
      </xdr:nvSpPr>
      <xdr:spPr>
        <a:xfrm>
          <a:off x="10963273" y="5857875"/>
          <a:ext cx="2495550" cy="874920"/>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wrap="square" rtlCol="0" anchor="t">
          <a:spAutoFit/>
        </a:bodyPr>
        <a:lstStyle/>
        <a:p>
          <a:r>
            <a:rPr lang="en-AU" sz="1000">
              <a:solidFill>
                <a:schemeClr val="lt1"/>
              </a:solidFill>
              <a:effectLst/>
              <a:latin typeface="+mn-lt"/>
              <a:ea typeface="+mn-ea"/>
              <a:cs typeface="+mn-cs"/>
            </a:rPr>
            <a:t>8. Pumping Utilisation</a:t>
          </a:r>
          <a:r>
            <a:rPr lang="en-AU" sz="1000" baseline="0">
              <a:solidFill>
                <a:schemeClr val="lt1"/>
              </a:solidFill>
              <a:effectLst/>
              <a:latin typeface="+mn-lt"/>
              <a:ea typeface="+mn-ea"/>
              <a:cs typeface="+mn-cs"/>
            </a:rPr>
            <a:t> Ratio (PUR) is the percentage of time the irrigator can actually run taking into account time spent moving the machine between hydrants and other down time</a:t>
          </a:r>
          <a:r>
            <a:rPr lang="en-AU" sz="1000">
              <a:solidFill>
                <a:schemeClr val="lt1"/>
              </a:solidFill>
              <a:effectLst/>
              <a:latin typeface="+mn-lt"/>
              <a:ea typeface="+mn-ea"/>
              <a:cs typeface="+mn-cs"/>
            </a:rPr>
            <a:t> </a:t>
          </a:r>
          <a:endParaRPr lang="en-AU" sz="1000">
            <a:solidFill>
              <a:schemeClr val="bg1">
                <a:lumMod val="95000"/>
              </a:schemeClr>
            </a:solidFill>
            <a:effectLst/>
          </a:endParaRPr>
        </a:p>
      </xdr:txBody>
    </xdr:sp>
    <xdr:clientData/>
  </xdr:oneCellAnchor>
  <xdr:twoCellAnchor>
    <xdr:from>
      <xdr:col>15</xdr:col>
      <xdr:colOff>76200</xdr:colOff>
      <xdr:row>19</xdr:row>
      <xdr:rowOff>38100</xdr:rowOff>
    </xdr:from>
    <xdr:to>
      <xdr:col>18</xdr:col>
      <xdr:colOff>447673</xdr:colOff>
      <xdr:row>33</xdr:row>
      <xdr:rowOff>113610</xdr:rowOff>
    </xdr:to>
    <xdr:cxnSp macro="">
      <xdr:nvCxnSpPr>
        <xdr:cNvPr id="82" name="Straight Arrow Connector 81">
          <a:extLst>
            <a:ext uri="{FF2B5EF4-FFF2-40B4-BE49-F238E27FC236}">
              <a16:creationId xmlns:a16="http://schemas.microsoft.com/office/drawing/2014/main" id="{9FEE03DE-A759-4A5A-9431-89613D5A767F}"/>
            </a:ext>
          </a:extLst>
        </xdr:cNvPr>
        <xdr:cNvCxnSpPr>
          <a:stCxn id="81" idx="1"/>
        </xdr:cNvCxnSpPr>
      </xdr:nvCxnSpPr>
      <xdr:spPr>
        <a:xfrm flipH="1" flipV="1">
          <a:off x="8763000" y="3552825"/>
          <a:ext cx="2200273" cy="2742510"/>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oneCellAnchor>
    <xdr:from>
      <xdr:col>1</xdr:col>
      <xdr:colOff>9525</xdr:colOff>
      <xdr:row>2</xdr:row>
      <xdr:rowOff>76199</xdr:rowOff>
    </xdr:from>
    <xdr:ext cx="13068300" cy="6429376"/>
    <xdr:sp macro="" textlink="">
      <xdr:nvSpPr>
        <xdr:cNvPr id="2" name="TextBox 1">
          <a:extLst>
            <a:ext uri="{FF2B5EF4-FFF2-40B4-BE49-F238E27FC236}">
              <a16:creationId xmlns:a16="http://schemas.microsoft.com/office/drawing/2014/main" id="{8EDB753A-2278-476F-B2EF-08E64FFDC2A9}"/>
            </a:ext>
          </a:extLst>
        </xdr:cNvPr>
        <xdr:cNvSpPr txBox="1"/>
      </xdr:nvSpPr>
      <xdr:spPr>
        <a:xfrm>
          <a:off x="161925" y="352424"/>
          <a:ext cx="13068300" cy="6429376"/>
        </a:xfrm>
        <a:prstGeom prst="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wrap="none" rtlCol="0" anchor="t">
          <a:noAutofit/>
        </a:bodyPr>
        <a:lstStyle/>
        <a:p>
          <a:r>
            <a:rPr lang="en-AU" sz="1100" b="1">
              <a:solidFill>
                <a:schemeClr val="tx2">
                  <a:lumMod val="50000"/>
                </a:schemeClr>
              </a:solidFill>
            </a:rPr>
            <a:t>Data input</a:t>
          </a:r>
        </a:p>
      </xdr:txBody>
    </xdr:sp>
    <xdr:clientData/>
  </xdr:oneCellAnchor>
  <xdr:twoCellAnchor editAs="oneCell">
    <xdr:from>
      <xdr:col>5</xdr:col>
      <xdr:colOff>504825</xdr:colOff>
      <xdr:row>2</xdr:row>
      <xdr:rowOff>95249</xdr:rowOff>
    </xdr:from>
    <xdr:to>
      <xdr:col>17</xdr:col>
      <xdr:colOff>257174</xdr:colOff>
      <xdr:row>26</xdr:row>
      <xdr:rowOff>189092</xdr:rowOff>
    </xdr:to>
    <xdr:pic>
      <xdr:nvPicPr>
        <xdr:cNvPr id="35" name="Picture 34">
          <a:extLst>
            <a:ext uri="{FF2B5EF4-FFF2-40B4-BE49-F238E27FC236}">
              <a16:creationId xmlns:a16="http://schemas.microsoft.com/office/drawing/2014/main" id="{E0B22F99-AF32-4873-8C64-8B8E8394CA67}"/>
            </a:ext>
          </a:extLst>
        </xdr:cNvPr>
        <xdr:cNvPicPr>
          <a:picLocks noChangeAspect="1"/>
        </xdr:cNvPicPr>
      </xdr:nvPicPr>
      <xdr:blipFill>
        <a:blip xmlns:r="http://schemas.openxmlformats.org/officeDocument/2006/relationships" r:embed="rId1"/>
        <a:stretch>
          <a:fillRect/>
        </a:stretch>
      </xdr:blipFill>
      <xdr:spPr>
        <a:xfrm>
          <a:off x="3095625" y="371474"/>
          <a:ext cx="7067549" cy="4665843"/>
        </a:xfrm>
        <a:prstGeom prst="rect">
          <a:avLst/>
        </a:prstGeom>
      </xdr:spPr>
    </xdr:pic>
    <xdr:clientData/>
  </xdr:twoCellAnchor>
  <xdr:oneCellAnchor>
    <xdr:from>
      <xdr:col>1</xdr:col>
      <xdr:colOff>161925</xdr:colOff>
      <xdr:row>21</xdr:row>
      <xdr:rowOff>123825</xdr:rowOff>
    </xdr:from>
    <xdr:ext cx="2376000" cy="581026"/>
    <xdr:sp macro="" textlink="">
      <xdr:nvSpPr>
        <xdr:cNvPr id="4" name="TextBox 3">
          <a:extLst>
            <a:ext uri="{FF2B5EF4-FFF2-40B4-BE49-F238E27FC236}">
              <a16:creationId xmlns:a16="http://schemas.microsoft.com/office/drawing/2014/main" id="{D24A549E-A5EA-4CDF-8439-6F9DA1BAF4A0}"/>
            </a:ext>
          </a:extLst>
        </xdr:cNvPr>
        <xdr:cNvSpPr txBox="1"/>
      </xdr:nvSpPr>
      <xdr:spPr>
        <a:xfrm>
          <a:off x="314325" y="4019550"/>
          <a:ext cx="2376000" cy="581026"/>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wrap="square" lIns="36000" tIns="36000" rIns="36000" bIns="36000" rtlCol="0" anchor="t">
          <a:noAutofit/>
        </a:bodyPr>
        <a:lstStyle/>
        <a:p>
          <a:r>
            <a:rPr lang="en-AU" sz="1000">
              <a:solidFill>
                <a:schemeClr val="lt1"/>
              </a:solidFill>
              <a:effectLst/>
              <a:latin typeface="+mn-lt"/>
              <a:ea typeface="+mn-ea"/>
              <a:cs typeface="+mn-cs"/>
            </a:rPr>
            <a:t>4. Total</a:t>
          </a:r>
          <a:r>
            <a:rPr lang="en-AU" sz="1000" baseline="0">
              <a:solidFill>
                <a:schemeClr val="lt1"/>
              </a:solidFill>
              <a:effectLst/>
              <a:latin typeface="+mn-lt"/>
              <a:ea typeface="+mn-ea"/>
              <a:cs typeface="+mn-cs"/>
            </a:rPr>
            <a:t> potential cost saving by improving  pump efficiency and reducing pipe line friction losses.</a:t>
          </a:r>
          <a:endParaRPr lang="en-AU" sz="1000">
            <a:solidFill>
              <a:schemeClr val="bg1">
                <a:lumMod val="95000"/>
              </a:schemeClr>
            </a:solidFill>
            <a:effectLst/>
          </a:endParaRPr>
        </a:p>
      </xdr:txBody>
    </xdr:sp>
    <xdr:clientData/>
  </xdr:oneCellAnchor>
  <xdr:twoCellAnchor>
    <xdr:from>
      <xdr:col>4</xdr:col>
      <xdr:colOff>604350</xdr:colOff>
      <xdr:row>5</xdr:row>
      <xdr:rowOff>138113</xdr:rowOff>
    </xdr:from>
    <xdr:to>
      <xdr:col>8</xdr:col>
      <xdr:colOff>476250</xdr:colOff>
      <xdr:row>16</xdr:row>
      <xdr:rowOff>28575</xdr:rowOff>
    </xdr:to>
    <xdr:cxnSp macro="">
      <xdr:nvCxnSpPr>
        <xdr:cNvPr id="5" name="Straight Arrow Connector 4">
          <a:extLst>
            <a:ext uri="{FF2B5EF4-FFF2-40B4-BE49-F238E27FC236}">
              <a16:creationId xmlns:a16="http://schemas.microsoft.com/office/drawing/2014/main" id="{B3496470-5493-4552-A161-956C6BD73BB9}"/>
            </a:ext>
          </a:extLst>
        </xdr:cNvPr>
        <xdr:cNvCxnSpPr>
          <a:cxnSpLocks/>
          <a:stCxn id="9" idx="3"/>
        </xdr:cNvCxnSpPr>
      </xdr:nvCxnSpPr>
      <xdr:spPr>
        <a:xfrm>
          <a:off x="2585550" y="985838"/>
          <a:ext cx="2310300" cy="1985962"/>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5</xdr:col>
      <xdr:colOff>99525</xdr:colOff>
      <xdr:row>20</xdr:row>
      <xdr:rowOff>123825</xdr:rowOff>
    </xdr:from>
    <xdr:to>
      <xdr:col>7</xdr:col>
      <xdr:colOff>0</xdr:colOff>
      <xdr:row>23</xdr:row>
      <xdr:rowOff>33338</xdr:rowOff>
    </xdr:to>
    <xdr:cxnSp macro="">
      <xdr:nvCxnSpPr>
        <xdr:cNvPr id="6" name="Straight Arrow Connector 5">
          <a:extLst>
            <a:ext uri="{FF2B5EF4-FFF2-40B4-BE49-F238E27FC236}">
              <a16:creationId xmlns:a16="http://schemas.microsoft.com/office/drawing/2014/main" id="{4E0DA4B0-48AC-4D4B-8247-CF814B9DB6E0}"/>
            </a:ext>
          </a:extLst>
        </xdr:cNvPr>
        <xdr:cNvCxnSpPr>
          <a:cxnSpLocks/>
          <a:stCxn id="4" idx="3"/>
        </xdr:cNvCxnSpPr>
      </xdr:nvCxnSpPr>
      <xdr:spPr>
        <a:xfrm flipV="1">
          <a:off x="2690325" y="3829050"/>
          <a:ext cx="1119675" cy="481013"/>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17</xdr:col>
      <xdr:colOff>352425</xdr:colOff>
      <xdr:row>18</xdr:row>
      <xdr:rowOff>47625</xdr:rowOff>
    </xdr:from>
    <xdr:to>
      <xdr:col>18</xdr:col>
      <xdr:colOff>238125</xdr:colOff>
      <xdr:row>21</xdr:row>
      <xdr:rowOff>130492</xdr:rowOff>
    </xdr:to>
    <xdr:cxnSp macro="">
      <xdr:nvCxnSpPr>
        <xdr:cNvPr id="7" name="Straight Arrow Connector 6">
          <a:extLst>
            <a:ext uri="{FF2B5EF4-FFF2-40B4-BE49-F238E27FC236}">
              <a16:creationId xmlns:a16="http://schemas.microsoft.com/office/drawing/2014/main" id="{37A07EEF-17B8-4502-B93E-DD1E7DCFDD3D}"/>
            </a:ext>
          </a:extLst>
        </xdr:cNvPr>
        <xdr:cNvCxnSpPr>
          <a:cxnSpLocks/>
          <a:stCxn id="11" idx="1"/>
        </xdr:cNvCxnSpPr>
      </xdr:nvCxnSpPr>
      <xdr:spPr>
        <a:xfrm flipH="1" flipV="1">
          <a:off x="10266045" y="3240405"/>
          <a:ext cx="495300" cy="631507"/>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7</xdr:col>
      <xdr:colOff>204788</xdr:colOff>
      <xdr:row>20</xdr:row>
      <xdr:rowOff>76200</xdr:rowOff>
    </xdr:from>
    <xdr:to>
      <xdr:col>9</xdr:col>
      <xdr:colOff>180975</xdr:colOff>
      <xdr:row>28</xdr:row>
      <xdr:rowOff>47624</xdr:rowOff>
    </xdr:to>
    <xdr:cxnSp macro="">
      <xdr:nvCxnSpPr>
        <xdr:cNvPr id="8" name="Straight Arrow Connector 7">
          <a:extLst>
            <a:ext uri="{FF2B5EF4-FFF2-40B4-BE49-F238E27FC236}">
              <a16:creationId xmlns:a16="http://schemas.microsoft.com/office/drawing/2014/main" id="{B30DBF3C-1487-4CF5-9B37-F2A83276600E}"/>
            </a:ext>
          </a:extLst>
        </xdr:cNvPr>
        <xdr:cNvCxnSpPr>
          <a:cxnSpLocks/>
          <a:stCxn id="10" idx="0"/>
        </xdr:cNvCxnSpPr>
      </xdr:nvCxnSpPr>
      <xdr:spPr>
        <a:xfrm flipV="1">
          <a:off x="4014788" y="3781425"/>
          <a:ext cx="1195387" cy="1495424"/>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1</xdr:col>
      <xdr:colOff>57150</xdr:colOff>
      <xdr:row>3</xdr:row>
      <xdr:rowOff>123825</xdr:rowOff>
    </xdr:from>
    <xdr:to>
      <xdr:col>4</xdr:col>
      <xdr:colOff>604350</xdr:colOff>
      <xdr:row>7</xdr:row>
      <xdr:rowOff>152401</xdr:rowOff>
    </xdr:to>
    <xdr:sp macro="" textlink="">
      <xdr:nvSpPr>
        <xdr:cNvPr id="9" name="TextBox 8">
          <a:extLst>
            <a:ext uri="{FF2B5EF4-FFF2-40B4-BE49-F238E27FC236}">
              <a16:creationId xmlns:a16="http://schemas.microsoft.com/office/drawing/2014/main" id="{42542F43-413F-4EFE-B21E-D91B4712386E}"/>
            </a:ext>
          </a:extLst>
        </xdr:cNvPr>
        <xdr:cNvSpPr txBox="1"/>
      </xdr:nvSpPr>
      <xdr:spPr>
        <a:xfrm>
          <a:off x="209550" y="590550"/>
          <a:ext cx="2376000" cy="790576"/>
        </a:xfrm>
        <a:prstGeom prst="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wrap="square" lIns="36000" tIns="36000" rIns="36000" bIns="36000" rtlCol="0" anchor="t">
          <a:noAutofit/>
        </a:bodyPr>
        <a:lstStyle/>
        <a:p>
          <a:r>
            <a:rPr lang="en-AU" sz="1000">
              <a:solidFill>
                <a:schemeClr val="bg1">
                  <a:lumMod val="95000"/>
                </a:schemeClr>
              </a:solidFill>
              <a:effectLst/>
              <a:latin typeface="+mn-lt"/>
              <a:ea typeface="+mn-ea"/>
              <a:cs typeface="+mn-cs"/>
            </a:rPr>
            <a:t>1.</a:t>
          </a:r>
          <a:r>
            <a:rPr lang="en-AU" sz="1000" baseline="0">
              <a:solidFill>
                <a:schemeClr val="bg1">
                  <a:lumMod val="95000"/>
                </a:schemeClr>
              </a:solidFill>
              <a:effectLst/>
              <a:latin typeface="+mn-lt"/>
              <a:ea typeface="+mn-ea"/>
              <a:cs typeface="+mn-cs"/>
            </a:rPr>
            <a:t> Motor load explanation. </a:t>
          </a:r>
        </a:p>
        <a:p>
          <a:r>
            <a:rPr lang="en-AU" sz="1000" baseline="0">
              <a:solidFill>
                <a:schemeClr val="bg1">
                  <a:lumMod val="95000"/>
                </a:schemeClr>
              </a:solidFill>
              <a:effectLst/>
              <a:latin typeface="+mn-lt"/>
              <a:ea typeface="+mn-ea"/>
              <a:cs typeface="+mn-cs"/>
            </a:rPr>
            <a:t>Green = good, load from 50-100%</a:t>
          </a:r>
        </a:p>
        <a:p>
          <a:r>
            <a:rPr lang="en-AU" sz="1000" baseline="0">
              <a:solidFill>
                <a:schemeClr val="bg1">
                  <a:lumMod val="95000"/>
                </a:schemeClr>
              </a:solidFill>
              <a:effectLst/>
              <a:latin typeface="+mn-lt"/>
              <a:ea typeface="+mn-ea"/>
              <a:cs typeface="+mn-cs"/>
            </a:rPr>
            <a:t>Red = poor, load less tan 50%</a:t>
          </a:r>
        </a:p>
        <a:p>
          <a:r>
            <a:rPr lang="en-AU" sz="1000" baseline="0">
              <a:solidFill>
                <a:schemeClr val="bg1">
                  <a:lumMod val="95000"/>
                </a:schemeClr>
              </a:solidFill>
              <a:effectLst/>
              <a:latin typeface="+mn-lt"/>
              <a:ea typeface="+mn-ea"/>
              <a:cs typeface="+mn-cs"/>
            </a:rPr>
            <a:t>Yellow = error - load greater than 100%</a:t>
          </a:r>
        </a:p>
        <a:p>
          <a:endParaRPr lang="en-AU" sz="1000" baseline="0">
            <a:solidFill>
              <a:schemeClr val="bg1">
                <a:lumMod val="95000"/>
              </a:schemeClr>
            </a:solidFill>
            <a:effectLst/>
            <a:latin typeface="+mn-lt"/>
            <a:ea typeface="+mn-ea"/>
            <a:cs typeface="+mn-cs"/>
          </a:endParaRPr>
        </a:p>
      </xdr:txBody>
    </xdr:sp>
    <xdr:clientData/>
  </xdr:twoCellAnchor>
  <xdr:twoCellAnchor>
    <xdr:from>
      <xdr:col>5</xdr:col>
      <xdr:colOff>581025</xdr:colOff>
      <xdr:row>28</xdr:row>
      <xdr:rowOff>47624</xdr:rowOff>
    </xdr:from>
    <xdr:to>
      <xdr:col>8</xdr:col>
      <xdr:colOff>438150</xdr:colOff>
      <xdr:row>32</xdr:row>
      <xdr:rowOff>161925</xdr:rowOff>
    </xdr:to>
    <xdr:sp macro="" textlink="">
      <xdr:nvSpPr>
        <xdr:cNvPr id="10" name="TextBox 9">
          <a:extLst>
            <a:ext uri="{FF2B5EF4-FFF2-40B4-BE49-F238E27FC236}">
              <a16:creationId xmlns:a16="http://schemas.microsoft.com/office/drawing/2014/main" id="{B5A95179-B96E-4BB0-882B-7F7829653782}"/>
            </a:ext>
          </a:extLst>
        </xdr:cNvPr>
        <xdr:cNvSpPr txBox="1"/>
      </xdr:nvSpPr>
      <xdr:spPr>
        <a:xfrm>
          <a:off x="3171825" y="5276849"/>
          <a:ext cx="1685925" cy="876301"/>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wrap="square" lIns="36000" tIns="36000" rIns="36000" bIns="36000" rtlCol="0" anchor="t">
          <a:noAutofit/>
        </a:bodyPr>
        <a:lstStyle/>
        <a:p>
          <a:r>
            <a:rPr lang="en-AU" sz="1000">
              <a:solidFill>
                <a:schemeClr val="bg1">
                  <a:lumMod val="95000"/>
                </a:schemeClr>
              </a:solidFill>
              <a:effectLst/>
            </a:rPr>
            <a:t>19.</a:t>
          </a:r>
          <a:r>
            <a:rPr lang="en-AU" sz="1000" baseline="0">
              <a:solidFill>
                <a:schemeClr val="bg1">
                  <a:lumMod val="95000"/>
                </a:schemeClr>
              </a:solidFill>
              <a:effectLst/>
            </a:rPr>
            <a:t> Current pump efficiency </a:t>
          </a:r>
        </a:p>
        <a:p>
          <a:r>
            <a:rPr lang="en-AU" sz="1000" baseline="0">
              <a:solidFill>
                <a:schemeClr val="bg1">
                  <a:lumMod val="95000"/>
                </a:schemeClr>
              </a:solidFill>
              <a:effectLst/>
            </a:rPr>
            <a:t>Red = poor &lt;70%</a:t>
          </a:r>
        </a:p>
        <a:p>
          <a:r>
            <a:rPr lang="en-AU" sz="1000" baseline="0">
              <a:solidFill>
                <a:schemeClr val="lt1"/>
              </a:solidFill>
              <a:effectLst/>
              <a:latin typeface="+mn-lt"/>
              <a:ea typeface="+mn-ea"/>
              <a:cs typeface="+mn-cs"/>
            </a:rPr>
            <a:t>Green</a:t>
          </a:r>
          <a:r>
            <a:rPr lang="en-AU" sz="1000" baseline="0">
              <a:solidFill>
                <a:schemeClr val="bg1">
                  <a:lumMod val="95000"/>
                </a:schemeClr>
              </a:solidFill>
              <a:effectLst/>
            </a:rPr>
            <a:t>= good 70-80%</a:t>
          </a:r>
        </a:p>
        <a:p>
          <a:r>
            <a:rPr lang="en-AU" sz="1000" baseline="0">
              <a:solidFill>
                <a:schemeClr val="bg1">
                  <a:lumMod val="95000"/>
                </a:schemeClr>
              </a:solidFill>
              <a:effectLst/>
            </a:rPr>
            <a:t>Green = Excellent &gt;90%</a:t>
          </a:r>
        </a:p>
        <a:p>
          <a:r>
            <a:rPr lang="en-AU" sz="1000" baseline="0">
              <a:solidFill>
                <a:schemeClr val="bg1">
                  <a:lumMod val="95000"/>
                </a:schemeClr>
              </a:solidFill>
              <a:effectLst/>
            </a:rPr>
            <a:t>Yellow = Error &gt;100%</a:t>
          </a:r>
          <a:endParaRPr lang="en-AU" sz="1000">
            <a:solidFill>
              <a:schemeClr val="bg1">
                <a:lumMod val="95000"/>
              </a:schemeClr>
            </a:solidFill>
            <a:effectLst/>
          </a:endParaRPr>
        </a:p>
      </xdr:txBody>
    </xdr:sp>
    <xdr:clientData/>
  </xdr:twoCellAnchor>
  <xdr:twoCellAnchor>
    <xdr:from>
      <xdr:col>18</xdr:col>
      <xdr:colOff>238125</xdr:colOff>
      <xdr:row>19</xdr:row>
      <xdr:rowOff>66674</xdr:rowOff>
    </xdr:from>
    <xdr:to>
      <xdr:col>22</xdr:col>
      <xdr:colOff>175725</xdr:colOff>
      <xdr:row>24</xdr:row>
      <xdr:rowOff>19050</xdr:rowOff>
    </xdr:to>
    <xdr:sp macro="" textlink="">
      <xdr:nvSpPr>
        <xdr:cNvPr id="11" name="TextBox 10">
          <a:extLst>
            <a:ext uri="{FF2B5EF4-FFF2-40B4-BE49-F238E27FC236}">
              <a16:creationId xmlns:a16="http://schemas.microsoft.com/office/drawing/2014/main" id="{C5FB7667-32C8-45BD-B29D-EAFD48A87D83}"/>
            </a:ext>
          </a:extLst>
        </xdr:cNvPr>
        <xdr:cNvSpPr txBox="1"/>
      </xdr:nvSpPr>
      <xdr:spPr>
        <a:xfrm>
          <a:off x="10761345" y="3442334"/>
          <a:ext cx="2376000" cy="866776"/>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wrap="square" lIns="36000" tIns="36000" rIns="36000" bIns="36000" rtlCol="0" anchor="t">
          <a:noAutofit/>
        </a:bodyPr>
        <a:lstStyle/>
        <a:p>
          <a:r>
            <a:rPr lang="en-AU" sz="1000">
              <a:solidFill>
                <a:schemeClr val="lt1"/>
              </a:solidFill>
              <a:effectLst/>
              <a:latin typeface="+mn-lt"/>
              <a:ea typeface="+mn-ea"/>
              <a:cs typeface="+mn-cs"/>
            </a:rPr>
            <a:t>7. Warning</a:t>
          </a:r>
          <a:r>
            <a:rPr lang="en-AU" sz="1000" baseline="0">
              <a:solidFill>
                <a:schemeClr val="lt1"/>
              </a:solidFill>
              <a:effectLst/>
              <a:latin typeface="+mn-lt"/>
              <a:ea typeface="+mn-ea"/>
              <a:cs typeface="+mn-cs"/>
            </a:rPr>
            <a:t> shown if gun pressure is too low. Potential energy cost savings are reduced because pressure at the gun should be increased to improve uniformity. This will increase energy costs.</a:t>
          </a:r>
        </a:p>
        <a:p>
          <a:endParaRPr lang="en-AU" sz="1000">
            <a:solidFill>
              <a:schemeClr val="lt1"/>
            </a:solidFill>
            <a:effectLst/>
            <a:latin typeface="+mn-lt"/>
            <a:ea typeface="+mn-ea"/>
            <a:cs typeface="+mn-cs"/>
          </a:endParaRPr>
        </a:p>
      </xdr:txBody>
    </xdr:sp>
    <xdr:clientData/>
  </xdr:twoCellAnchor>
  <xdr:twoCellAnchor>
    <xdr:from>
      <xdr:col>18</xdr:col>
      <xdr:colOff>219074</xdr:colOff>
      <xdr:row>2</xdr:row>
      <xdr:rowOff>152399</xdr:rowOff>
    </xdr:from>
    <xdr:to>
      <xdr:col>22</xdr:col>
      <xdr:colOff>209549</xdr:colOff>
      <xdr:row>7</xdr:row>
      <xdr:rowOff>0</xdr:rowOff>
    </xdr:to>
    <xdr:sp macro="" textlink="">
      <xdr:nvSpPr>
        <xdr:cNvPr id="12" name="TextBox 11">
          <a:extLst>
            <a:ext uri="{FF2B5EF4-FFF2-40B4-BE49-F238E27FC236}">
              <a16:creationId xmlns:a16="http://schemas.microsoft.com/office/drawing/2014/main" id="{11FBC118-2780-4D8B-9E9A-87CE3EE878AF}"/>
            </a:ext>
          </a:extLst>
        </xdr:cNvPr>
        <xdr:cNvSpPr txBox="1"/>
      </xdr:nvSpPr>
      <xdr:spPr>
        <a:xfrm>
          <a:off x="10734674" y="428624"/>
          <a:ext cx="2428875" cy="800101"/>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wrap="square" lIns="36000" tIns="36000" rIns="36000" bIns="36000" rtlCol="0" anchor="t">
          <a:noAutofit/>
        </a:bodyPr>
        <a:lstStyle/>
        <a:p>
          <a:r>
            <a:rPr lang="en-AU" sz="1000">
              <a:solidFill>
                <a:schemeClr val="bg1">
                  <a:lumMod val="95000"/>
                </a:schemeClr>
              </a:solidFill>
              <a:effectLst/>
            </a:rPr>
            <a:t>5. Warning shown if the  gun</a:t>
          </a:r>
          <a:r>
            <a:rPr lang="en-AU" sz="1000" baseline="0">
              <a:solidFill>
                <a:schemeClr val="bg1">
                  <a:lumMod val="95000"/>
                </a:schemeClr>
              </a:solidFill>
              <a:effectLst/>
            </a:rPr>
            <a:t> pressure is outside the manufacturer's specified operating range. The estimated gun throw distance may be inaccurate. </a:t>
          </a:r>
          <a:endParaRPr lang="en-AU" sz="1000">
            <a:solidFill>
              <a:schemeClr val="bg1">
                <a:lumMod val="95000"/>
              </a:schemeClr>
            </a:solidFill>
            <a:effectLst/>
          </a:endParaRPr>
        </a:p>
      </xdr:txBody>
    </xdr:sp>
    <xdr:clientData/>
  </xdr:twoCellAnchor>
  <xdr:twoCellAnchor>
    <xdr:from>
      <xdr:col>18</xdr:col>
      <xdr:colOff>228599</xdr:colOff>
      <xdr:row>33</xdr:row>
      <xdr:rowOff>43815</xdr:rowOff>
    </xdr:from>
    <xdr:to>
      <xdr:col>22</xdr:col>
      <xdr:colOff>219075</xdr:colOff>
      <xdr:row>36</xdr:row>
      <xdr:rowOff>72391</xdr:rowOff>
    </xdr:to>
    <xdr:sp macro="" textlink="">
      <xdr:nvSpPr>
        <xdr:cNvPr id="13" name="TextBox 12">
          <a:extLst>
            <a:ext uri="{FF2B5EF4-FFF2-40B4-BE49-F238E27FC236}">
              <a16:creationId xmlns:a16="http://schemas.microsoft.com/office/drawing/2014/main" id="{F05E9870-CED6-4215-BAF7-57B28741F9A6}"/>
            </a:ext>
          </a:extLst>
        </xdr:cNvPr>
        <xdr:cNvSpPr txBox="1"/>
      </xdr:nvSpPr>
      <xdr:spPr>
        <a:xfrm>
          <a:off x="10751819" y="5979795"/>
          <a:ext cx="2428876" cy="577216"/>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wrap="square" lIns="36000" tIns="36000" rIns="36000" bIns="36000" rtlCol="0" anchor="t">
          <a:noAutofit/>
        </a:bodyPr>
        <a:lstStyle/>
        <a:p>
          <a:r>
            <a:rPr lang="en-AU" sz="1000">
              <a:solidFill>
                <a:schemeClr val="lt1"/>
              </a:solidFill>
              <a:effectLst/>
              <a:latin typeface="+mn-lt"/>
              <a:ea typeface="+mn-ea"/>
              <a:cs typeface="+mn-cs"/>
            </a:rPr>
            <a:t>13. Estimated head</a:t>
          </a:r>
          <a:r>
            <a:rPr lang="en-AU" sz="1000" baseline="0">
              <a:solidFill>
                <a:schemeClr val="lt1"/>
              </a:solidFill>
              <a:effectLst/>
              <a:latin typeface="+mn-lt"/>
              <a:ea typeface="+mn-ea"/>
              <a:cs typeface="+mn-cs"/>
            </a:rPr>
            <a:t> loss in the mainline</a:t>
          </a:r>
        </a:p>
        <a:p>
          <a:r>
            <a:rPr lang="en-AU" sz="1000" baseline="0">
              <a:solidFill>
                <a:schemeClr val="lt1"/>
              </a:solidFill>
              <a:effectLst/>
              <a:latin typeface="+mn-lt"/>
              <a:ea typeface="+mn-ea"/>
              <a:cs typeface="+mn-cs"/>
            </a:rPr>
            <a:t>14. Potential annual costs savings if head loss is reduced to 'target' by increasing pipe size.</a:t>
          </a:r>
        </a:p>
        <a:p>
          <a:pPr marL="0" marR="0" lvl="0" indent="0" defTabSz="914400" eaLnBrk="1" fontAlgn="auto" latinLnBrk="0" hangingPunct="1">
            <a:lnSpc>
              <a:spcPct val="100000"/>
            </a:lnSpc>
            <a:spcBef>
              <a:spcPts val="0"/>
            </a:spcBef>
            <a:spcAft>
              <a:spcPts val="0"/>
            </a:spcAft>
            <a:buClrTx/>
            <a:buSzTx/>
            <a:buFontTx/>
            <a:buNone/>
            <a:tabLst/>
            <a:defRPr/>
          </a:pPr>
          <a:endParaRPr lang="en-AU" sz="1000">
            <a:effectLst/>
          </a:endParaRPr>
        </a:p>
      </xdr:txBody>
    </xdr:sp>
    <xdr:clientData/>
  </xdr:twoCellAnchor>
  <xdr:twoCellAnchor>
    <xdr:from>
      <xdr:col>13</xdr:col>
      <xdr:colOff>390524</xdr:colOff>
      <xdr:row>20</xdr:row>
      <xdr:rowOff>152400</xdr:rowOff>
    </xdr:from>
    <xdr:to>
      <xdr:col>18</xdr:col>
      <xdr:colOff>228599</xdr:colOff>
      <xdr:row>34</xdr:row>
      <xdr:rowOff>149543</xdr:rowOff>
    </xdr:to>
    <xdr:cxnSp macro="">
      <xdr:nvCxnSpPr>
        <xdr:cNvPr id="14" name="Straight Arrow Connector 13">
          <a:extLst>
            <a:ext uri="{FF2B5EF4-FFF2-40B4-BE49-F238E27FC236}">
              <a16:creationId xmlns:a16="http://schemas.microsoft.com/office/drawing/2014/main" id="{7CC2078C-EAF4-4CDA-B1DE-E679CFF40325}"/>
            </a:ext>
          </a:extLst>
        </xdr:cNvPr>
        <xdr:cNvCxnSpPr>
          <a:cxnSpLocks/>
          <a:stCxn id="13" idx="1"/>
          <a:endCxn id="29" idx="1"/>
        </xdr:cNvCxnSpPr>
      </xdr:nvCxnSpPr>
      <xdr:spPr>
        <a:xfrm flipH="1" flipV="1">
          <a:off x="7865744" y="3710940"/>
          <a:ext cx="2886075" cy="2557463"/>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17</xdr:col>
      <xdr:colOff>390525</xdr:colOff>
      <xdr:row>4</xdr:row>
      <xdr:rowOff>171450</xdr:rowOff>
    </xdr:from>
    <xdr:to>
      <xdr:col>18</xdr:col>
      <xdr:colOff>219074</xdr:colOff>
      <xdr:row>10</xdr:row>
      <xdr:rowOff>123825</xdr:rowOff>
    </xdr:to>
    <xdr:cxnSp macro="">
      <xdr:nvCxnSpPr>
        <xdr:cNvPr id="15" name="Straight Arrow Connector 14">
          <a:extLst>
            <a:ext uri="{FF2B5EF4-FFF2-40B4-BE49-F238E27FC236}">
              <a16:creationId xmlns:a16="http://schemas.microsoft.com/office/drawing/2014/main" id="{B33DECE2-97B6-4066-B173-B590300FF41C}"/>
            </a:ext>
          </a:extLst>
        </xdr:cNvPr>
        <xdr:cNvCxnSpPr>
          <a:cxnSpLocks/>
          <a:stCxn id="12" idx="1"/>
        </xdr:cNvCxnSpPr>
      </xdr:nvCxnSpPr>
      <xdr:spPr>
        <a:xfrm flipH="1">
          <a:off x="10296525" y="828675"/>
          <a:ext cx="438149" cy="1095375"/>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18</xdr:col>
      <xdr:colOff>257175</xdr:colOff>
      <xdr:row>7</xdr:row>
      <xdr:rowOff>40003</xdr:rowOff>
    </xdr:from>
    <xdr:to>
      <xdr:col>22</xdr:col>
      <xdr:colOff>200025</xdr:colOff>
      <xdr:row>19</xdr:row>
      <xdr:rowOff>30480</xdr:rowOff>
    </xdr:to>
    <xdr:sp macro="" textlink="">
      <xdr:nvSpPr>
        <xdr:cNvPr id="16" name="TextBox 15">
          <a:extLst>
            <a:ext uri="{FF2B5EF4-FFF2-40B4-BE49-F238E27FC236}">
              <a16:creationId xmlns:a16="http://schemas.microsoft.com/office/drawing/2014/main" id="{D5895BC0-F635-4883-843D-694FA0FEE0C5}"/>
            </a:ext>
          </a:extLst>
        </xdr:cNvPr>
        <xdr:cNvSpPr txBox="1"/>
      </xdr:nvSpPr>
      <xdr:spPr>
        <a:xfrm>
          <a:off x="10780395" y="1221103"/>
          <a:ext cx="2381250" cy="2185037"/>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wrap="square" lIns="36000" tIns="36000" rIns="36000" bIns="36000" rtlCol="0" anchor="t">
          <a:noAutofit/>
        </a:bodyPr>
        <a:lstStyle/>
        <a:p>
          <a:r>
            <a:rPr lang="en-AU" sz="1000">
              <a:solidFill>
                <a:schemeClr val="bg1">
                  <a:lumMod val="95000"/>
                </a:schemeClr>
              </a:solidFill>
              <a:effectLst/>
              <a:latin typeface="+mn-lt"/>
              <a:ea typeface="+mn-ea"/>
              <a:cs typeface="+mn-cs"/>
            </a:rPr>
            <a:t>6.</a:t>
          </a:r>
          <a:r>
            <a:rPr lang="en-AU" sz="1000" baseline="0">
              <a:solidFill>
                <a:schemeClr val="bg1">
                  <a:lumMod val="95000"/>
                </a:schemeClr>
              </a:solidFill>
              <a:effectLst/>
              <a:latin typeface="+mn-lt"/>
              <a:ea typeface="+mn-ea"/>
              <a:cs typeface="+mn-cs"/>
            </a:rPr>
            <a:t> Gun performance notification</a:t>
          </a:r>
        </a:p>
        <a:p>
          <a:r>
            <a:rPr lang="en-AU" sz="1000" baseline="0">
              <a:solidFill>
                <a:schemeClr val="bg1">
                  <a:lumMod val="95000"/>
                </a:schemeClr>
              </a:solidFill>
              <a:effectLst/>
              <a:latin typeface="+mn-lt"/>
              <a:ea typeface="+mn-ea"/>
              <a:cs typeface="+mn-cs"/>
            </a:rPr>
            <a:t>Green - gun pressure is OK, resulting in sufficient water throw distance and overlap</a:t>
          </a:r>
        </a:p>
        <a:p>
          <a:endParaRPr lang="en-AU" sz="1000" baseline="0">
            <a:solidFill>
              <a:schemeClr val="bg1">
                <a:lumMod val="95000"/>
              </a:schemeClr>
            </a:solidFill>
            <a:effectLst/>
            <a:latin typeface="+mn-lt"/>
            <a:ea typeface="+mn-ea"/>
            <a:cs typeface="+mn-cs"/>
          </a:endParaRPr>
        </a:p>
        <a:p>
          <a:r>
            <a:rPr lang="en-AU" sz="1000" baseline="0">
              <a:solidFill>
                <a:schemeClr val="bg1">
                  <a:lumMod val="95000"/>
                </a:schemeClr>
              </a:solidFill>
              <a:effectLst/>
              <a:latin typeface="+mn-lt"/>
              <a:ea typeface="+mn-ea"/>
              <a:cs typeface="+mn-cs"/>
            </a:rPr>
            <a:t>Red - gun pressure is too low, resulting in insufficient water throw distance for hydrant spacing. Potential energy costs saving are reduced because pressure at the gun should be increased to improve uniformity. This will increase energy costs.</a:t>
          </a:r>
        </a:p>
        <a:p>
          <a:endParaRPr lang="en-AU" sz="1000" baseline="0">
            <a:solidFill>
              <a:schemeClr val="bg1">
                <a:lumMod val="95000"/>
              </a:schemeClr>
            </a:solidFill>
            <a:effectLst/>
            <a:latin typeface="+mn-lt"/>
            <a:ea typeface="+mn-ea"/>
            <a:cs typeface="+mn-cs"/>
          </a:endParaRPr>
        </a:p>
        <a:p>
          <a:r>
            <a:rPr lang="en-AU" sz="1000" baseline="0">
              <a:solidFill>
                <a:schemeClr val="bg1">
                  <a:lumMod val="95000"/>
                </a:schemeClr>
              </a:solidFill>
              <a:effectLst/>
              <a:latin typeface="+mn-lt"/>
              <a:ea typeface="+mn-ea"/>
              <a:cs typeface="+mn-cs"/>
            </a:rPr>
            <a:t>Red - gun pressure is too high. Potential energy cost savings are shown in cell X32</a:t>
          </a:r>
        </a:p>
      </xdr:txBody>
    </xdr:sp>
    <xdr:clientData/>
  </xdr:twoCellAnchor>
  <xdr:twoCellAnchor>
    <xdr:from>
      <xdr:col>17</xdr:col>
      <xdr:colOff>352425</xdr:colOff>
      <xdr:row>13</xdr:row>
      <xdr:rowOff>35242</xdr:rowOff>
    </xdr:from>
    <xdr:to>
      <xdr:col>18</xdr:col>
      <xdr:colOff>257175</xdr:colOff>
      <xdr:row>15</xdr:row>
      <xdr:rowOff>135255</xdr:rowOff>
    </xdr:to>
    <xdr:cxnSp macro="">
      <xdr:nvCxnSpPr>
        <xdr:cNvPr id="17" name="Straight Arrow Connector 16">
          <a:extLst>
            <a:ext uri="{FF2B5EF4-FFF2-40B4-BE49-F238E27FC236}">
              <a16:creationId xmlns:a16="http://schemas.microsoft.com/office/drawing/2014/main" id="{FAF5AC79-2E17-4387-9A59-F93C1467105B}"/>
            </a:ext>
          </a:extLst>
        </xdr:cNvPr>
        <xdr:cNvCxnSpPr>
          <a:cxnSpLocks/>
          <a:stCxn id="16" idx="1"/>
        </xdr:cNvCxnSpPr>
      </xdr:nvCxnSpPr>
      <xdr:spPr>
        <a:xfrm flipH="1">
          <a:off x="10266045" y="2313622"/>
          <a:ext cx="514350" cy="465773"/>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oneCellAnchor>
    <xdr:from>
      <xdr:col>1</xdr:col>
      <xdr:colOff>114300</xdr:colOff>
      <xdr:row>8</xdr:row>
      <xdr:rowOff>76201</xdr:rowOff>
    </xdr:from>
    <xdr:ext cx="2371725" cy="1114424"/>
    <xdr:sp macro="" textlink="">
      <xdr:nvSpPr>
        <xdr:cNvPr id="18" name="TextBox 17">
          <a:extLst>
            <a:ext uri="{FF2B5EF4-FFF2-40B4-BE49-F238E27FC236}">
              <a16:creationId xmlns:a16="http://schemas.microsoft.com/office/drawing/2014/main" id="{A67318F4-2C50-40C8-82C7-D5E40CE03656}"/>
            </a:ext>
          </a:extLst>
        </xdr:cNvPr>
        <xdr:cNvSpPr txBox="1"/>
      </xdr:nvSpPr>
      <xdr:spPr>
        <a:xfrm>
          <a:off x="266700" y="1495426"/>
          <a:ext cx="2371725" cy="1114424"/>
        </a:xfrm>
        <a:prstGeom prst="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wrap="square" lIns="36000" tIns="36000" rIns="36000" bIns="36000" rtlCol="0" anchor="t">
          <a:noAutofit/>
        </a:bodyPr>
        <a:lstStyle/>
        <a:p>
          <a:r>
            <a:rPr lang="en-AU" sz="1000">
              <a:solidFill>
                <a:schemeClr val="bg1">
                  <a:lumMod val="95000"/>
                </a:schemeClr>
              </a:solidFill>
              <a:effectLst/>
              <a:latin typeface="+mn-lt"/>
              <a:ea typeface="+mn-ea"/>
              <a:cs typeface="+mn-cs"/>
            </a:rPr>
            <a:t>2.</a:t>
          </a:r>
          <a:r>
            <a:rPr lang="en-AU" sz="1000" baseline="0">
              <a:solidFill>
                <a:schemeClr val="bg1">
                  <a:lumMod val="95000"/>
                </a:schemeClr>
              </a:solidFill>
              <a:effectLst/>
              <a:latin typeface="+mn-lt"/>
              <a:ea typeface="+mn-ea"/>
              <a:cs typeface="+mn-cs"/>
            </a:rPr>
            <a:t> Estimate of motor load based on motor size and measure power consumption </a:t>
          </a:r>
        </a:p>
        <a:p>
          <a:r>
            <a:rPr lang="en-AU" sz="1000" baseline="0">
              <a:solidFill>
                <a:schemeClr val="bg1">
                  <a:lumMod val="95000"/>
                </a:schemeClr>
              </a:solidFill>
              <a:effectLst/>
              <a:latin typeface="+mn-lt"/>
              <a:ea typeface="+mn-ea"/>
              <a:cs typeface="+mn-cs"/>
            </a:rPr>
            <a:t>(Cell D10).</a:t>
          </a:r>
        </a:p>
        <a:p>
          <a:r>
            <a:rPr lang="en-AU" sz="1000" baseline="0">
              <a:solidFill>
                <a:schemeClr val="bg1">
                  <a:lumMod val="95000"/>
                </a:schemeClr>
              </a:solidFill>
              <a:effectLst/>
              <a:latin typeface="+mn-lt"/>
              <a:ea typeface="+mn-ea"/>
              <a:cs typeface="+mn-cs"/>
            </a:rPr>
            <a:t>Green = good, load from 50-100%</a:t>
          </a:r>
        </a:p>
        <a:p>
          <a:r>
            <a:rPr lang="en-AU" sz="1000" baseline="0">
              <a:solidFill>
                <a:schemeClr val="bg1">
                  <a:lumMod val="95000"/>
                </a:schemeClr>
              </a:solidFill>
              <a:effectLst/>
              <a:latin typeface="+mn-lt"/>
              <a:ea typeface="+mn-ea"/>
              <a:cs typeface="+mn-cs"/>
            </a:rPr>
            <a:t>Red = poor, load less tan 50%</a:t>
          </a:r>
        </a:p>
        <a:p>
          <a:r>
            <a:rPr lang="en-AU" sz="1000" baseline="0">
              <a:solidFill>
                <a:schemeClr val="bg1">
                  <a:lumMod val="95000"/>
                </a:schemeClr>
              </a:solidFill>
              <a:effectLst/>
              <a:latin typeface="+mn-lt"/>
              <a:ea typeface="+mn-ea"/>
              <a:cs typeface="+mn-cs"/>
            </a:rPr>
            <a:t>Yellow = error - load greater than 100%</a:t>
          </a:r>
        </a:p>
      </xdr:txBody>
    </xdr:sp>
    <xdr:clientData/>
  </xdr:oneCellAnchor>
  <xdr:twoCellAnchor>
    <xdr:from>
      <xdr:col>5</xdr:col>
      <xdr:colOff>47625</xdr:colOff>
      <xdr:row>11</xdr:row>
      <xdr:rowOff>61913</xdr:rowOff>
    </xdr:from>
    <xdr:to>
      <xdr:col>7</xdr:col>
      <xdr:colOff>114300</xdr:colOff>
      <xdr:row>18</xdr:row>
      <xdr:rowOff>57150</xdr:rowOff>
    </xdr:to>
    <xdr:cxnSp macro="">
      <xdr:nvCxnSpPr>
        <xdr:cNvPr id="19" name="Straight Arrow Connector 18">
          <a:extLst>
            <a:ext uri="{FF2B5EF4-FFF2-40B4-BE49-F238E27FC236}">
              <a16:creationId xmlns:a16="http://schemas.microsoft.com/office/drawing/2014/main" id="{71FF87C4-ACBD-403C-B800-10373D70104D}"/>
            </a:ext>
          </a:extLst>
        </xdr:cNvPr>
        <xdr:cNvCxnSpPr>
          <a:stCxn id="18" idx="3"/>
        </xdr:cNvCxnSpPr>
      </xdr:nvCxnSpPr>
      <xdr:spPr>
        <a:xfrm>
          <a:off x="2638425" y="2052638"/>
          <a:ext cx="1285875" cy="1328737"/>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1</xdr:col>
      <xdr:colOff>114300</xdr:colOff>
      <xdr:row>14</xdr:row>
      <xdr:rowOff>152399</xdr:rowOff>
    </xdr:from>
    <xdr:to>
      <xdr:col>5</xdr:col>
      <xdr:colOff>51900</xdr:colOff>
      <xdr:row>20</xdr:row>
      <xdr:rowOff>123824</xdr:rowOff>
    </xdr:to>
    <xdr:sp macro="" textlink="">
      <xdr:nvSpPr>
        <xdr:cNvPr id="20" name="TextBox 19">
          <a:extLst>
            <a:ext uri="{FF2B5EF4-FFF2-40B4-BE49-F238E27FC236}">
              <a16:creationId xmlns:a16="http://schemas.microsoft.com/office/drawing/2014/main" id="{047106E8-EC37-425A-90FD-9F8F47B76AB7}"/>
            </a:ext>
          </a:extLst>
        </xdr:cNvPr>
        <xdr:cNvSpPr txBox="1"/>
      </xdr:nvSpPr>
      <xdr:spPr>
        <a:xfrm>
          <a:off x="266700" y="2714624"/>
          <a:ext cx="2376000" cy="1114425"/>
        </a:xfrm>
        <a:prstGeom prst="rect">
          <a:avLst/>
        </a:prstGeom>
      </xdr:spPr>
      <xdr:style>
        <a:lnRef idx="1">
          <a:schemeClr val="accent6"/>
        </a:lnRef>
        <a:fillRef idx="3">
          <a:schemeClr val="accent6"/>
        </a:fillRef>
        <a:effectRef idx="2">
          <a:schemeClr val="accent6"/>
        </a:effectRef>
        <a:fontRef idx="minor">
          <a:schemeClr val="lt1"/>
        </a:fontRef>
      </xdr:style>
      <xdr:txBody>
        <a:bodyPr vertOverflow="clip" horzOverflow="clip" wrap="square" lIns="36000" tIns="36000" rIns="36000" bIns="36000" rtlCol="0" anchor="t">
          <a:noAutofit/>
        </a:bodyPr>
        <a:lstStyle/>
        <a:p>
          <a:r>
            <a:rPr lang="en-AU" sz="1000">
              <a:solidFill>
                <a:schemeClr val="bg1">
                  <a:lumMod val="95000"/>
                </a:schemeClr>
              </a:solidFill>
              <a:effectLst/>
              <a:latin typeface="+mn-lt"/>
              <a:ea typeface="+mn-ea"/>
              <a:cs typeface="+mn-cs"/>
            </a:rPr>
            <a:t>3.</a:t>
          </a:r>
          <a:r>
            <a:rPr lang="en-AU" sz="1000" baseline="0">
              <a:solidFill>
                <a:schemeClr val="bg1">
                  <a:lumMod val="95000"/>
                </a:schemeClr>
              </a:solidFill>
              <a:effectLst/>
              <a:latin typeface="+mn-lt"/>
              <a:ea typeface="+mn-ea"/>
              <a:cs typeface="+mn-cs"/>
            </a:rPr>
            <a:t> Graph showing break down of pumping costs in $/year. </a:t>
          </a:r>
        </a:p>
        <a:p>
          <a:r>
            <a:rPr lang="en-AU" sz="1000" baseline="0">
              <a:solidFill>
                <a:schemeClr val="bg1">
                  <a:lumMod val="95000"/>
                </a:schemeClr>
              </a:solidFill>
              <a:effectLst/>
              <a:latin typeface="+mn-lt"/>
              <a:ea typeface="+mn-ea"/>
              <a:cs typeface="+mn-cs"/>
            </a:rPr>
            <a:t>Column 1 - costs for the current system</a:t>
          </a:r>
        </a:p>
        <a:p>
          <a:r>
            <a:rPr lang="en-AU" sz="1000" baseline="0">
              <a:solidFill>
                <a:schemeClr val="bg1">
                  <a:lumMod val="95000"/>
                </a:schemeClr>
              </a:solidFill>
              <a:effectLst/>
              <a:latin typeface="+mn-lt"/>
              <a:ea typeface="+mn-ea"/>
              <a:cs typeface="+mn-cs"/>
            </a:rPr>
            <a:t>Column 2 - potential costs following modification to improve pump efficiency and pipe line friction losses</a:t>
          </a:r>
        </a:p>
        <a:p>
          <a:endParaRPr lang="en-AU" sz="1000" baseline="0">
            <a:solidFill>
              <a:schemeClr val="bg1">
                <a:lumMod val="95000"/>
              </a:schemeClr>
            </a:solidFill>
            <a:effectLst/>
            <a:latin typeface="+mn-lt"/>
            <a:ea typeface="+mn-ea"/>
            <a:cs typeface="+mn-cs"/>
          </a:endParaRPr>
        </a:p>
        <a:p>
          <a:endParaRPr lang="en-AU" sz="1000" baseline="0">
            <a:solidFill>
              <a:schemeClr val="bg1">
                <a:lumMod val="95000"/>
              </a:schemeClr>
            </a:solidFill>
            <a:effectLst/>
            <a:latin typeface="+mn-lt"/>
            <a:ea typeface="+mn-ea"/>
            <a:cs typeface="+mn-cs"/>
          </a:endParaRPr>
        </a:p>
      </xdr:txBody>
    </xdr:sp>
    <xdr:clientData/>
  </xdr:twoCellAnchor>
  <xdr:twoCellAnchor>
    <xdr:from>
      <xdr:col>5</xdr:col>
      <xdr:colOff>51900</xdr:colOff>
      <xdr:row>17</xdr:row>
      <xdr:rowOff>138112</xdr:rowOff>
    </xdr:from>
    <xdr:to>
      <xdr:col>5</xdr:col>
      <xdr:colOff>457200</xdr:colOff>
      <xdr:row>20</xdr:row>
      <xdr:rowOff>142875</xdr:rowOff>
    </xdr:to>
    <xdr:cxnSp macro="">
      <xdr:nvCxnSpPr>
        <xdr:cNvPr id="21" name="Straight Arrow Connector 20">
          <a:extLst>
            <a:ext uri="{FF2B5EF4-FFF2-40B4-BE49-F238E27FC236}">
              <a16:creationId xmlns:a16="http://schemas.microsoft.com/office/drawing/2014/main" id="{12766051-D2D5-49D5-BF78-10200D2BBAF4}"/>
            </a:ext>
          </a:extLst>
        </xdr:cNvPr>
        <xdr:cNvCxnSpPr>
          <a:cxnSpLocks/>
          <a:stCxn id="20" idx="3"/>
        </xdr:cNvCxnSpPr>
      </xdr:nvCxnSpPr>
      <xdr:spPr>
        <a:xfrm>
          <a:off x="2642700" y="3271837"/>
          <a:ext cx="405300" cy="576263"/>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18</xdr:col>
      <xdr:colOff>219074</xdr:colOff>
      <xdr:row>29</xdr:row>
      <xdr:rowOff>118110</xdr:rowOff>
    </xdr:from>
    <xdr:to>
      <xdr:col>22</xdr:col>
      <xdr:colOff>190499</xdr:colOff>
      <xdr:row>32</xdr:row>
      <xdr:rowOff>139066</xdr:rowOff>
    </xdr:to>
    <xdr:sp macro="" textlink="">
      <xdr:nvSpPr>
        <xdr:cNvPr id="23" name="TextBox 22">
          <a:extLst>
            <a:ext uri="{FF2B5EF4-FFF2-40B4-BE49-F238E27FC236}">
              <a16:creationId xmlns:a16="http://schemas.microsoft.com/office/drawing/2014/main" id="{46842494-BDAF-4388-8113-2195C78154B3}"/>
            </a:ext>
          </a:extLst>
        </xdr:cNvPr>
        <xdr:cNvSpPr txBox="1"/>
      </xdr:nvSpPr>
      <xdr:spPr>
        <a:xfrm>
          <a:off x="10742294" y="5322570"/>
          <a:ext cx="2409825" cy="569596"/>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wrap="square" lIns="36000" tIns="36000" rIns="36000" bIns="36000" rtlCol="0" anchor="t">
          <a:noAutofit/>
        </a:bodyPr>
        <a:lstStyle/>
        <a:p>
          <a:r>
            <a:rPr lang="en-AU" sz="1000">
              <a:solidFill>
                <a:schemeClr val="lt1"/>
              </a:solidFill>
              <a:effectLst/>
              <a:latin typeface="+mn-lt"/>
              <a:ea typeface="+mn-ea"/>
              <a:cs typeface="+mn-cs"/>
            </a:rPr>
            <a:t>11. Estimated head</a:t>
          </a:r>
          <a:r>
            <a:rPr lang="en-AU" sz="1000" baseline="0">
              <a:solidFill>
                <a:schemeClr val="lt1"/>
              </a:solidFill>
              <a:effectLst/>
              <a:latin typeface="+mn-lt"/>
              <a:ea typeface="+mn-ea"/>
              <a:cs typeface="+mn-cs"/>
            </a:rPr>
            <a:t> loss in the irrigator hose</a:t>
          </a:r>
        </a:p>
        <a:p>
          <a:r>
            <a:rPr lang="en-AU" sz="1000" baseline="0">
              <a:solidFill>
                <a:schemeClr val="lt1"/>
              </a:solidFill>
              <a:effectLst/>
              <a:latin typeface="+mn-lt"/>
              <a:ea typeface="+mn-ea"/>
              <a:cs typeface="+mn-cs"/>
            </a:rPr>
            <a:t>12. Potential annual costs savings if head loss is reduced to 'target' by increasing pipe size.</a:t>
          </a:r>
        </a:p>
      </xdr:txBody>
    </xdr:sp>
    <xdr:clientData/>
  </xdr:twoCellAnchor>
  <xdr:twoCellAnchor>
    <xdr:from>
      <xdr:col>14</xdr:col>
      <xdr:colOff>380999</xdr:colOff>
      <xdr:row>20</xdr:row>
      <xdr:rowOff>161925</xdr:rowOff>
    </xdr:from>
    <xdr:to>
      <xdr:col>18</xdr:col>
      <xdr:colOff>219074</xdr:colOff>
      <xdr:row>31</xdr:row>
      <xdr:rowOff>37148</xdr:rowOff>
    </xdr:to>
    <xdr:cxnSp macro="">
      <xdr:nvCxnSpPr>
        <xdr:cNvPr id="24" name="Straight Arrow Connector 23">
          <a:extLst>
            <a:ext uri="{FF2B5EF4-FFF2-40B4-BE49-F238E27FC236}">
              <a16:creationId xmlns:a16="http://schemas.microsoft.com/office/drawing/2014/main" id="{10902D32-5E30-42F7-814D-AFF65FE1F573}"/>
            </a:ext>
          </a:extLst>
        </xdr:cNvPr>
        <xdr:cNvCxnSpPr>
          <a:cxnSpLocks/>
          <a:stCxn id="23" idx="1"/>
          <a:endCxn id="28" idx="1"/>
        </xdr:cNvCxnSpPr>
      </xdr:nvCxnSpPr>
      <xdr:spPr>
        <a:xfrm flipH="1" flipV="1">
          <a:off x="8465819" y="3720465"/>
          <a:ext cx="2276475" cy="1886903"/>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18</xdr:col>
      <xdr:colOff>228600</xdr:colOff>
      <xdr:row>24</xdr:row>
      <xdr:rowOff>62864</xdr:rowOff>
    </xdr:from>
    <xdr:to>
      <xdr:col>22</xdr:col>
      <xdr:colOff>166200</xdr:colOff>
      <xdr:row>29</xdr:row>
      <xdr:rowOff>76200</xdr:rowOff>
    </xdr:to>
    <xdr:sp macro="" textlink="">
      <xdr:nvSpPr>
        <xdr:cNvPr id="25" name="TextBox 24">
          <a:extLst>
            <a:ext uri="{FF2B5EF4-FFF2-40B4-BE49-F238E27FC236}">
              <a16:creationId xmlns:a16="http://schemas.microsoft.com/office/drawing/2014/main" id="{8AB3C0B2-DE3B-431B-A7D5-C269CAA4A74B}"/>
            </a:ext>
          </a:extLst>
        </xdr:cNvPr>
        <xdr:cNvSpPr txBox="1"/>
      </xdr:nvSpPr>
      <xdr:spPr>
        <a:xfrm>
          <a:off x="10751820" y="4352924"/>
          <a:ext cx="2376000" cy="927736"/>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wrap="square" lIns="36000" tIns="36000" rIns="36000" bIns="36000" rtlCol="0" anchor="t">
          <a:noAutofit/>
        </a:bodyPr>
        <a:lstStyle/>
        <a:p>
          <a:r>
            <a:rPr lang="en-AU" sz="1000">
              <a:solidFill>
                <a:schemeClr val="lt1"/>
              </a:solidFill>
              <a:effectLst/>
              <a:latin typeface="+mn-lt"/>
              <a:ea typeface="+mn-ea"/>
              <a:cs typeface="+mn-cs"/>
            </a:rPr>
            <a:t>8. Current</a:t>
          </a:r>
          <a:r>
            <a:rPr lang="en-AU" sz="1000" baseline="0">
              <a:solidFill>
                <a:schemeClr val="lt1"/>
              </a:solidFill>
              <a:effectLst/>
              <a:latin typeface="+mn-lt"/>
              <a:ea typeface="+mn-ea"/>
              <a:cs typeface="+mn-cs"/>
            </a:rPr>
            <a:t> pressure at gun</a:t>
          </a:r>
        </a:p>
        <a:p>
          <a:r>
            <a:rPr lang="en-AU" sz="1000" baseline="0">
              <a:solidFill>
                <a:schemeClr val="lt1"/>
              </a:solidFill>
              <a:effectLst/>
              <a:latin typeface="+mn-lt"/>
              <a:ea typeface="+mn-ea"/>
              <a:cs typeface="+mn-cs"/>
            </a:rPr>
            <a:t>9. Optimum pressure to achieve required water  throw distance.</a:t>
          </a:r>
        </a:p>
        <a:p>
          <a:pPr marL="0" marR="0" lvl="0" indent="0" defTabSz="914400" eaLnBrk="1" fontAlgn="auto" latinLnBrk="0" hangingPunct="1">
            <a:lnSpc>
              <a:spcPct val="100000"/>
            </a:lnSpc>
            <a:spcBef>
              <a:spcPts val="0"/>
            </a:spcBef>
            <a:spcAft>
              <a:spcPts val="0"/>
            </a:spcAft>
            <a:buClrTx/>
            <a:buSzTx/>
            <a:buFontTx/>
            <a:buNone/>
            <a:tabLst/>
            <a:defRPr/>
          </a:pPr>
          <a:r>
            <a:rPr lang="en-AU" sz="1000" baseline="0">
              <a:solidFill>
                <a:schemeClr val="lt1"/>
              </a:solidFill>
              <a:effectLst/>
              <a:latin typeface="+mn-lt"/>
              <a:ea typeface="+mn-ea"/>
              <a:cs typeface="+mn-cs"/>
            </a:rPr>
            <a:t>10. Potential cost savings (or increase if in red) of achieving optimum pressure at gun.</a:t>
          </a:r>
          <a:endParaRPr lang="en-AU" sz="1000">
            <a:effectLst/>
          </a:endParaRPr>
        </a:p>
      </xdr:txBody>
    </xdr:sp>
    <xdr:clientData/>
  </xdr:twoCellAnchor>
  <xdr:twoCellAnchor>
    <xdr:from>
      <xdr:col>17</xdr:col>
      <xdr:colOff>352424</xdr:colOff>
      <xdr:row>20</xdr:row>
      <xdr:rowOff>161925</xdr:rowOff>
    </xdr:from>
    <xdr:to>
      <xdr:col>18</xdr:col>
      <xdr:colOff>228600</xdr:colOff>
      <xdr:row>26</xdr:row>
      <xdr:rowOff>160972</xdr:rowOff>
    </xdr:to>
    <xdr:cxnSp macro="">
      <xdr:nvCxnSpPr>
        <xdr:cNvPr id="26" name="Straight Arrow Connector 25">
          <a:extLst>
            <a:ext uri="{FF2B5EF4-FFF2-40B4-BE49-F238E27FC236}">
              <a16:creationId xmlns:a16="http://schemas.microsoft.com/office/drawing/2014/main" id="{D5509C32-65DD-482F-A816-025B0EB8C503}"/>
            </a:ext>
          </a:extLst>
        </xdr:cNvPr>
        <xdr:cNvCxnSpPr>
          <a:cxnSpLocks/>
          <a:stCxn id="25" idx="1"/>
          <a:endCxn id="27" idx="1"/>
        </xdr:cNvCxnSpPr>
      </xdr:nvCxnSpPr>
      <xdr:spPr>
        <a:xfrm flipH="1" flipV="1">
          <a:off x="10266044" y="3720465"/>
          <a:ext cx="485776" cy="1096327"/>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17</xdr:col>
      <xdr:colOff>190499</xdr:colOff>
      <xdr:row>19</xdr:row>
      <xdr:rowOff>142875</xdr:rowOff>
    </xdr:from>
    <xdr:to>
      <xdr:col>17</xdr:col>
      <xdr:colOff>352424</xdr:colOff>
      <xdr:row>21</xdr:row>
      <xdr:rowOff>180975</xdr:rowOff>
    </xdr:to>
    <xdr:sp macro="" textlink="">
      <xdr:nvSpPr>
        <xdr:cNvPr id="27" name="Left Brace 26">
          <a:extLst>
            <a:ext uri="{FF2B5EF4-FFF2-40B4-BE49-F238E27FC236}">
              <a16:creationId xmlns:a16="http://schemas.microsoft.com/office/drawing/2014/main" id="{581D14F0-6A2C-4579-A9E6-D9E7A6CBF815}"/>
            </a:ext>
          </a:extLst>
        </xdr:cNvPr>
        <xdr:cNvSpPr/>
      </xdr:nvSpPr>
      <xdr:spPr>
        <a:xfrm flipH="1">
          <a:off x="10096499" y="3657600"/>
          <a:ext cx="161925" cy="419100"/>
        </a:xfrm>
        <a:prstGeom prst="leftBrace">
          <a:avLst/>
        </a:prstGeom>
        <a:noFill/>
        <a:ln w="19050">
          <a:solidFill>
            <a:schemeClr val="accent6">
              <a:lumMod val="75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AU" sz="1100"/>
        </a:p>
      </xdr:txBody>
    </xdr:sp>
    <xdr:clientData/>
  </xdr:twoCellAnchor>
  <xdr:twoCellAnchor>
    <xdr:from>
      <xdr:col>14</xdr:col>
      <xdr:colOff>219074</xdr:colOff>
      <xdr:row>19</xdr:row>
      <xdr:rowOff>142875</xdr:rowOff>
    </xdr:from>
    <xdr:to>
      <xdr:col>14</xdr:col>
      <xdr:colOff>380999</xdr:colOff>
      <xdr:row>21</xdr:row>
      <xdr:rowOff>180975</xdr:rowOff>
    </xdr:to>
    <xdr:sp macro="" textlink="">
      <xdr:nvSpPr>
        <xdr:cNvPr id="28" name="Left Brace 27">
          <a:extLst>
            <a:ext uri="{FF2B5EF4-FFF2-40B4-BE49-F238E27FC236}">
              <a16:creationId xmlns:a16="http://schemas.microsoft.com/office/drawing/2014/main" id="{7E632A52-6560-4D6F-BB44-E1BC2533C04A}"/>
            </a:ext>
          </a:extLst>
        </xdr:cNvPr>
        <xdr:cNvSpPr/>
      </xdr:nvSpPr>
      <xdr:spPr>
        <a:xfrm flipH="1">
          <a:off x="8296274" y="3657600"/>
          <a:ext cx="161925" cy="419100"/>
        </a:xfrm>
        <a:prstGeom prst="leftBrace">
          <a:avLst/>
        </a:prstGeom>
        <a:noFill/>
        <a:ln w="19050">
          <a:solidFill>
            <a:schemeClr val="accent6">
              <a:lumMod val="75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AU" sz="1100"/>
        </a:p>
      </xdr:txBody>
    </xdr:sp>
    <xdr:clientData/>
  </xdr:twoCellAnchor>
  <xdr:twoCellAnchor>
    <xdr:from>
      <xdr:col>13</xdr:col>
      <xdr:colOff>228599</xdr:colOff>
      <xdr:row>19</xdr:row>
      <xdr:rowOff>133350</xdr:rowOff>
    </xdr:from>
    <xdr:to>
      <xdr:col>13</xdr:col>
      <xdr:colOff>390524</xdr:colOff>
      <xdr:row>21</xdr:row>
      <xdr:rowOff>171450</xdr:rowOff>
    </xdr:to>
    <xdr:sp macro="" textlink="">
      <xdr:nvSpPr>
        <xdr:cNvPr id="29" name="Left Brace 28">
          <a:extLst>
            <a:ext uri="{FF2B5EF4-FFF2-40B4-BE49-F238E27FC236}">
              <a16:creationId xmlns:a16="http://schemas.microsoft.com/office/drawing/2014/main" id="{2805CBCD-4372-4D6D-B1CE-583F07F43DF0}"/>
            </a:ext>
          </a:extLst>
        </xdr:cNvPr>
        <xdr:cNvSpPr/>
      </xdr:nvSpPr>
      <xdr:spPr>
        <a:xfrm flipH="1">
          <a:off x="7696199" y="3648075"/>
          <a:ext cx="161925" cy="419100"/>
        </a:xfrm>
        <a:prstGeom prst="leftBrace">
          <a:avLst/>
        </a:prstGeom>
        <a:noFill/>
        <a:ln w="19050">
          <a:solidFill>
            <a:schemeClr val="accent6">
              <a:lumMod val="75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AU" sz="1100"/>
        </a:p>
      </xdr:txBody>
    </xdr:sp>
    <xdr:clientData/>
  </xdr:twoCellAnchor>
  <xdr:twoCellAnchor>
    <xdr:from>
      <xdr:col>11</xdr:col>
      <xdr:colOff>47624</xdr:colOff>
      <xdr:row>19</xdr:row>
      <xdr:rowOff>133350</xdr:rowOff>
    </xdr:from>
    <xdr:to>
      <xdr:col>11</xdr:col>
      <xdr:colOff>209549</xdr:colOff>
      <xdr:row>21</xdr:row>
      <xdr:rowOff>171450</xdr:rowOff>
    </xdr:to>
    <xdr:sp macro="" textlink="">
      <xdr:nvSpPr>
        <xdr:cNvPr id="30" name="Left Brace 29">
          <a:extLst>
            <a:ext uri="{FF2B5EF4-FFF2-40B4-BE49-F238E27FC236}">
              <a16:creationId xmlns:a16="http://schemas.microsoft.com/office/drawing/2014/main" id="{56E670BD-9A78-4C2A-94A2-69E2D77A0A05}"/>
            </a:ext>
          </a:extLst>
        </xdr:cNvPr>
        <xdr:cNvSpPr/>
      </xdr:nvSpPr>
      <xdr:spPr>
        <a:xfrm flipH="1">
          <a:off x="6296024" y="3648075"/>
          <a:ext cx="161925" cy="419100"/>
        </a:xfrm>
        <a:prstGeom prst="leftBrace">
          <a:avLst/>
        </a:prstGeom>
        <a:noFill/>
        <a:ln w="19050">
          <a:solidFill>
            <a:schemeClr val="accent6">
              <a:lumMod val="75000"/>
            </a:schemeClr>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AU" sz="1100"/>
        </a:p>
      </xdr:txBody>
    </xdr:sp>
    <xdr:clientData/>
  </xdr:twoCellAnchor>
  <xdr:twoCellAnchor>
    <xdr:from>
      <xdr:col>8</xdr:col>
      <xdr:colOff>523874</xdr:colOff>
      <xdr:row>28</xdr:row>
      <xdr:rowOff>38099</xdr:rowOff>
    </xdr:from>
    <xdr:to>
      <xdr:col>13</xdr:col>
      <xdr:colOff>419099</xdr:colOff>
      <xdr:row>32</xdr:row>
      <xdr:rowOff>171450</xdr:rowOff>
    </xdr:to>
    <xdr:sp macro="" textlink="">
      <xdr:nvSpPr>
        <xdr:cNvPr id="31" name="TextBox 30">
          <a:extLst>
            <a:ext uri="{FF2B5EF4-FFF2-40B4-BE49-F238E27FC236}">
              <a16:creationId xmlns:a16="http://schemas.microsoft.com/office/drawing/2014/main" id="{362674BE-1DCB-499C-8687-CFAB3E90C942}"/>
            </a:ext>
          </a:extLst>
        </xdr:cNvPr>
        <xdr:cNvSpPr txBox="1"/>
      </xdr:nvSpPr>
      <xdr:spPr>
        <a:xfrm>
          <a:off x="4943474" y="5267324"/>
          <a:ext cx="2943225" cy="895351"/>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wrap="square" lIns="36000" tIns="36000" rIns="36000" bIns="36000" rtlCol="0" anchor="t">
          <a:noAutofit/>
        </a:bodyPr>
        <a:lstStyle/>
        <a:p>
          <a:r>
            <a:rPr lang="en-AU" sz="1000">
              <a:solidFill>
                <a:schemeClr val="bg1">
                  <a:lumMod val="95000"/>
                </a:schemeClr>
              </a:solidFill>
              <a:effectLst/>
            </a:rPr>
            <a:t>16.</a:t>
          </a:r>
          <a:r>
            <a:rPr lang="en-AU" sz="1000" baseline="0">
              <a:solidFill>
                <a:schemeClr val="bg1">
                  <a:lumMod val="95000"/>
                </a:schemeClr>
              </a:solidFill>
              <a:effectLst/>
            </a:rPr>
            <a:t> Pumping costs ($/ML) at current pump efficiency</a:t>
          </a:r>
        </a:p>
        <a:p>
          <a:r>
            <a:rPr lang="en-AU" sz="1000">
              <a:solidFill>
                <a:schemeClr val="bg1">
                  <a:lumMod val="95000"/>
                </a:schemeClr>
              </a:solidFill>
              <a:effectLst/>
            </a:rPr>
            <a:t>17. Pumping costs ($/ML) at target pump efficiency</a:t>
          </a:r>
        </a:p>
        <a:p>
          <a:r>
            <a:rPr lang="en-AU" sz="1000">
              <a:solidFill>
                <a:schemeClr val="bg1">
                  <a:lumMod val="95000"/>
                </a:schemeClr>
              </a:solidFill>
              <a:effectLst/>
            </a:rPr>
            <a:t>18. Potential energy costs saving</a:t>
          </a:r>
          <a:r>
            <a:rPr lang="en-AU" sz="1000" baseline="0">
              <a:solidFill>
                <a:schemeClr val="bg1">
                  <a:lumMod val="95000"/>
                </a:schemeClr>
              </a:solidFill>
              <a:effectLst/>
            </a:rPr>
            <a:t> from improving pump efficiency to target efficiency</a:t>
          </a:r>
          <a:endParaRPr lang="en-AU" sz="1000">
            <a:solidFill>
              <a:schemeClr val="bg1">
                <a:lumMod val="95000"/>
              </a:schemeClr>
            </a:solidFill>
            <a:effectLst/>
          </a:endParaRPr>
        </a:p>
        <a:p>
          <a:endParaRPr lang="en-AU" sz="1000">
            <a:solidFill>
              <a:schemeClr val="bg1">
                <a:lumMod val="95000"/>
              </a:schemeClr>
            </a:solidFill>
            <a:effectLst/>
          </a:endParaRPr>
        </a:p>
      </xdr:txBody>
    </xdr:sp>
    <xdr:clientData/>
  </xdr:twoCellAnchor>
  <xdr:twoCellAnchor>
    <xdr:from>
      <xdr:col>11</xdr:col>
      <xdr:colOff>166687</xdr:colOff>
      <xdr:row>20</xdr:row>
      <xdr:rowOff>152400</xdr:rowOff>
    </xdr:from>
    <xdr:to>
      <xdr:col>11</xdr:col>
      <xdr:colOff>209549</xdr:colOff>
      <xdr:row>28</xdr:row>
      <xdr:rowOff>38099</xdr:rowOff>
    </xdr:to>
    <xdr:cxnSp macro="">
      <xdr:nvCxnSpPr>
        <xdr:cNvPr id="32" name="Straight Arrow Connector 31">
          <a:extLst>
            <a:ext uri="{FF2B5EF4-FFF2-40B4-BE49-F238E27FC236}">
              <a16:creationId xmlns:a16="http://schemas.microsoft.com/office/drawing/2014/main" id="{978E28EB-82D3-4300-BA42-992C37D7325D}"/>
            </a:ext>
          </a:extLst>
        </xdr:cNvPr>
        <xdr:cNvCxnSpPr>
          <a:cxnSpLocks/>
          <a:stCxn id="31" idx="0"/>
          <a:endCxn id="30" idx="1"/>
        </xdr:cNvCxnSpPr>
      </xdr:nvCxnSpPr>
      <xdr:spPr>
        <a:xfrm flipV="1">
          <a:off x="6415087" y="3857625"/>
          <a:ext cx="42862" cy="1409699"/>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oneCellAnchor>
    <xdr:from>
      <xdr:col>13</xdr:col>
      <xdr:colOff>514350</xdr:colOff>
      <xdr:row>28</xdr:row>
      <xdr:rowOff>38099</xdr:rowOff>
    </xdr:from>
    <xdr:ext cx="1457325" cy="885825"/>
    <xdr:sp macro="" textlink="">
      <xdr:nvSpPr>
        <xdr:cNvPr id="33" name="TextBox 32">
          <a:extLst>
            <a:ext uri="{FF2B5EF4-FFF2-40B4-BE49-F238E27FC236}">
              <a16:creationId xmlns:a16="http://schemas.microsoft.com/office/drawing/2014/main" id="{DDBBBECC-6C6D-49BA-BB13-EDA67B89BFAD}"/>
            </a:ext>
          </a:extLst>
        </xdr:cNvPr>
        <xdr:cNvSpPr txBox="1"/>
      </xdr:nvSpPr>
      <xdr:spPr>
        <a:xfrm>
          <a:off x="7981950" y="5267324"/>
          <a:ext cx="1457325" cy="885825"/>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wrap="square" lIns="36000" tIns="36000" rIns="36000" bIns="36000" rtlCol="0" anchor="t">
          <a:noAutofit/>
        </a:bodyPr>
        <a:lstStyle/>
        <a:p>
          <a:r>
            <a:rPr lang="en-AU" sz="1000">
              <a:solidFill>
                <a:schemeClr val="lt1"/>
              </a:solidFill>
              <a:effectLst/>
              <a:latin typeface="+mn-lt"/>
              <a:ea typeface="+mn-ea"/>
              <a:cs typeface="+mn-cs"/>
            </a:rPr>
            <a:t>15. Total</a:t>
          </a:r>
          <a:r>
            <a:rPr lang="en-AU" sz="1000" baseline="0">
              <a:solidFill>
                <a:schemeClr val="lt1"/>
              </a:solidFill>
              <a:effectLst/>
              <a:latin typeface="+mn-lt"/>
              <a:ea typeface="+mn-ea"/>
              <a:cs typeface="+mn-cs"/>
            </a:rPr>
            <a:t> potential cost saving by improving  pump efficiency and reducing pipe line friction losses.</a:t>
          </a:r>
          <a:endParaRPr lang="en-AU" sz="1000">
            <a:solidFill>
              <a:schemeClr val="bg1">
                <a:lumMod val="95000"/>
              </a:schemeClr>
            </a:solidFill>
            <a:effectLst/>
          </a:endParaRPr>
        </a:p>
      </xdr:txBody>
    </xdr:sp>
    <xdr:clientData/>
  </xdr:oneCellAnchor>
  <xdr:twoCellAnchor>
    <xdr:from>
      <xdr:col>13</xdr:col>
      <xdr:colOff>409575</xdr:colOff>
      <xdr:row>24</xdr:row>
      <xdr:rowOff>19050</xdr:rowOff>
    </xdr:from>
    <xdr:to>
      <xdr:col>15</xdr:col>
      <xdr:colOff>23813</xdr:colOff>
      <xdr:row>28</xdr:row>
      <xdr:rowOff>38099</xdr:rowOff>
    </xdr:to>
    <xdr:cxnSp macro="">
      <xdr:nvCxnSpPr>
        <xdr:cNvPr id="34" name="Straight Arrow Connector 33">
          <a:extLst>
            <a:ext uri="{FF2B5EF4-FFF2-40B4-BE49-F238E27FC236}">
              <a16:creationId xmlns:a16="http://schemas.microsoft.com/office/drawing/2014/main" id="{CDA97337-2154-4B91-BA42-C7893246A1EE}"/>
            </a:ext>
          </a:extLst>
        </xdr:cNvPr>
        <xdr:cNvCxnSpPr>
          <a:cxnSpLocks/>
          <a:stCxn id="33" idx="0"/>
        </xdr:cNvCxnSpPr>
      </xdr:nvCxnSpPr>
      <xdr:spPr>
        <a:xfrm flipH="1" flipV="1">
          <a:off x="7877175" y="4486275"/>
          <a:ext cx="833438" cy="781049"/>
        </a:xfrm>
        <a:prstGeom prst="straightConnector1">
          <a:avLst/>
        </a:prstGeom>
        <a:ln>
          <a:tailEnd type="triangle"/>
        </a:ln>
      </xdr:spPr>
      <xdr:style>
        <a:lnRef idx="1">
          <a:schemeClr val="accent6"/>
        </a:lnRef>
        <a:fillRef idx="0">
          <a:schemeClr val="accent6"/>
        </a:fillRef>
        <a:effectRef idx="0">
          <a:schemeClr val="accent6"/>
        </a:effectRef>
        <a:fontRef idx="minor">
          <a:schemeClr val="tx1"/>
        </a:fontRef>
      </xdr:style>
    </xdr:cxn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4FFAB38-D24F-405E-89B7-A0EF0C0F03C4}" name="Input" displayName="Input" ref="V6:V9" totalsRowShown="0" headerRowDxfId="54" dataDxfId="53">
  <autoFilter ref="V6:V9" xr:uid="{70C50C16-1CE9-4A03-8323-96D4AC7179A7}"/>
  <tableColumns count="1">
    <tableColumn id="1" xr3:uid="{C26BE936-31DB-46FD-A84B-86F058EEE6A4}" name="Input data" dataDxfId="52"/>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8FD55287-D526-4458-91B7-99FBA7645DA4}" name="Table11" displayName="Table11" ref="AG1:AG12" totalsRowShown="0">
  <autoFilter ref="AG1:AG12" xr:uid="{FC020DE1-60C8-4BF9-92DB-8DD24FADCB49}"/>
  <tableColumns count="1">
    <tableColumn id="1" xr3:uid="{5AFD51C3-EB4E-44CC-AFD3-3DA854EEDAD5}" name="SR101+"/>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34B8522A-8910-4673-8C4F-40D327F56810}" name="Table12" displayName="Table12" ref="AH1:AH9" totalsRowShown="0">
  <autoFilter ref="AH1:AH9" xr:uid="{9862EAD3-938C-4103-8709-56D4EA46F352}"/>
  <tableColumns count="1">
    <tableColumn id="1" xr3:uid="{F73FE538-A9A7-4240-A1D9-9FE00185BDE6}" name="SR150"/>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E5333C37-5F54-4E25-A652-565677B122B6}" name="Table13" displayName="Table13" ref="AI1:AI10" totalsRowShown="0">
  <autoFilter ref="AI1:AI10" xr:uid="{A2527149-8C86-462F-B2D8-71C7FA237EE9}"/>
  <tableColumns count="1">
    <tableColumn id="1" xr3:uid="{195FB115-A98B-4F84-9086-9EE2E818A0AB}" name="SR75"/>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3269BE51-3631-494C-92C4-B493D7C828AE}" name="Table14" displayName="Table14" ref="AJ1:AJ10" totalsRowShown="0">
  <autoFilter ref="AJ1:AJ10" xr:uid="{E755F6DE-38C1-4A61-9D8A-761A85114B09}"/>
  <tableColumns count="1">
    <tableColumn id="1" xr3:uid="{9DFEEF33-F35B-4140-8F3D-09C37E9797AA}" name="Twin101Ultra"/>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5547635-5A57-4600-8D7C-AC456CC22F6A}" name="Table15" displayName="Table15" ref="AK1:AK13" totalsRowShown="0">
  <autoFilter ref="AK1:AK13" xr:uid="{04305E26-D626-4515-8204-9083973D9E93}"/>
  <tableColumns count="1">
    <tableColumn id="1" xr3:uid="{A29F0579-3A3B-49B8-969F-D7615F898EBC}" name="Twin140+"/>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6BC06935-4F74-421A-A167-111AB2237452}" name="Table16" displayName="Table16" ref="AL1:AL11" totalsRowShown="0">
  <autoFilter ref="AL1:AL11" xr:uid="{37BAF2E0-8FA2-4FAB-AE42-219EB5C17BA0}"/>
  <tableColumns count="1">
    <tableColumn id="1" xr3:uid="{FD9D1AD0-F24B-4AF6-9B6D-96133981C5AB}" name="Twin140Ultra"/>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A68C8CBD-BE76-4627-91A3-B9C384617802}" name="Table17" displayName="Table17" ref="AM1:AM12" totalsRowShown="0">
  <autoFilter ref="AM1:AM12" xr:uid="{FD1D6FBD-8DA5-4470-ADDC-15845E387F00}"/>
  <tableColumns count="1">
    <tableColumn id="1" xr3:uid="{CD463B00-C6CD-4A06-A64E-782036DD3932}" name="Twin160"/>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8DCEB696-575F-4C6A-A9A6-03B7016CF28D}" name="Table18" displayName="Table18" ref="AN1:AN16" totalsRowShown="0">
  <autoFilter ref="AN1:AN16" xr:uid="{46FAB8D7-DC46-4B57-8CB0-BBF5274DC826}"/>
  <tableColumns count="1">
    <tableColumn id="1" xr3:uid="{702631DF-E45D-43B7-86A2-4EF3BEB17B52}" name="Twin202+"/>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B2BCD5A5-475F-4FCF-B2CC-BDF65DDB927E}" name="Table19" displayName="Table19" ref="AO1:AO14" totalsRowShown="0">
  <autoFilter ref="AO1:AO14" xr:uid="{F8A76F31-E5C5-4CA3-B0D5-6D04081C0F00}"/>
  <tableColumns count="1">
    <tableColumn id="1" xr3:uid="{DED6D711-42AE-4EDA-9C5E-21167A477E90}" name="Twin202Ultra"/>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8B186D3F-FFF4-4985-AB34-A750208FD060}" name="Table20" displayName="Table20" ref="AP1:AP13" totalsRowShown="0">
  <autoFilter ref="AP1:AP13" xr:uid="{E5853310-9251-4A93-BFDC-BF445DE5B116}"/>
  <tableColumns count="1">
    <tableColumn id="1" xr3:uid="{A88527AF-AA78-4C45-9AC7-376F206831A9}" name="TwinMax18"/>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4BF8A68-95DB-46EC-97A7-F47EB9474BFD}" name="Estimate" displayName="Estimate" ref="W6:W10" totalsRowShown="0" headerRowDxfId="51" dataDxfId="50">
  <autoFilter ref="W6:W10" xr:uid="{E410BEC9-AE16-4AAD-B21B-577CC0B1447B}"/>
  <tableColumns count="1">
    <tableColumn id="1" xr3:uid="{1C5E16AA-183B-45AC-8423-F2E3D1C18185}" name="Estimate data" dataDxfId="49"/>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8C266851-0DD7-40CB-8BE2-E1200CC0D411}" name="Table21" displayName="Table21" ref="AQ1:AQ7" totalsRowShown="0">
  <autoFilter ref="AQ1:AQ7" xr:uid="{09DB7737-844E-49CD-B356-0D13482FA678}"/>
  <tableColumns count="1">
    <tableColumn id="1" xr3:uid="{E448B79E-4F2F-468C-94FE-E73E15F305CC}" name="X100-51H18"/>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9A01C127-2EB6-4739-AD09-75687E919728}" name="Table22" displayName="Table22" ref="AR1:AR7" totalsRowShown="0">
  <autoFilter ref="AR1:AR7" xr:uid="{B44D702E-247C-45F4-8BD3-8C08F61923EC}"/>
  <tableColumns count="1">
    <tableColumn id="1" xr3:uid="{D2CD7E46-2267-4BD2-80AE-76AFA7B52085}" name="X100-51H24"/>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3458F106-1853-497D-92FB-71BE9CBC25CD}" name="Table23" displayName="Table23" ref="AS1:AS14" totalsRowShown="0">
  <autoFilter ref="AS1:AS14" xr:uid="{3AC34707-89D5-4EBC-AC00-FB3CBB4F2F56}"/>
  <tableColumns count="1">
    <tableColumn id="1" xr3:uid="{F72D9D90-1D3B-471D-87F4-984FD6F0C5D7}" name="X100-51L18"/>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17396592-002C-4E84-A37A-342BC59DACB9}" name="Table25" displayName="Table25" ref="AT1:AT14" totalsRowShown="0">
  <autoFilter ref="AT1:AT14" xr:uid="{C2227A2E-A711-45B2-8DC8-388CA0F522C7}"/>
  <tableColumns count="1">
    <tableColumn id="1" xr3:uid="{985D1EBF-FC8B-4C79-9B0F-C7194E18F9E1}" name="X100-51L24"/>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00BCD21-C7E9-4910-960E-A1ADE9C52E32}" name="Table2" displayName="Table2" ref="AU1:AU10" totalsRowShown="0">
  <autoFilter ref="AU1:AU10" xr:uid="{200BCD21-C7E9-4910-960E-A1ADE9C52E32}"/>
  <tableColumns count="1">
    <tableColumn id="1" xr3:uid="{9BC3D833-1DB3-4573-AA87-2C98C13132EB}" name="BigGun200Taper"/>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55BDEDC-7DC1-429F-AF05-2F127965668E}" name="Table4" displayName="Table4" ref="Z1:Z5" totalsRowShown="0">
  <autoFilter ref="Z1:Z5" xr:uid="{70CD86D5-7A3A-4253-8435-9CAA998B0624}"/>
  <tableColumns count="1">
    <tableColumn id="1" xr3:uid="{75C9A8CF-D3CD-42AF-AC6A-CD6B5FFD28D4}" name="EndSpray"/>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4C4C980-A5B6-4807-BB31-437CFCD5D86C}" name="Table5" displayName="Table5" ref="AA1:AA5" totalsRowShown="0">
  <autoFilter ref="AA1:AA5" xr:uid="{033C16F9-3B6D-45C1-9B1D-E559C2A533B1}"/>
  <tableColumns count="1">
    <tableColumn id="1" xr3:uid="{125C4331-B219-4395-B531-D3FC9FE78807}" name="R55A"/>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339A3B7A-3DD7-4D26-99CB-41E7BD9781D1}" name="Table6" displayName="Table6" ref="AB1:AB7" totalsRowShown="0">
  <autoFilter ref="AB1:AB7" xr:uid="{26C82A6F-FA83-451F-BAAE-5F27FC3EC612}"/>
  <tableColumns count="1">
    <tableColumn id="1" xr3:uid="{CE84A63A-2A97-44EC-90CD-EDA83506DFEC}" name="R55i VT"/>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6F67791B-327C-40A4-8BE6-4446808BC86A}" name="Table7" displayName="Table7" ref="AC1:AC8" totalsRowShown="0">
  <autoFilter ref="AC1:AC8" xr:uid="{659D547E-7933-4BE3-A742-98524A40E2A3}"/>
  <tableColumns count="1">
    <tableColumn id="1" xr3:uid="{38B0516F-3153-41F7-B5F6-1021BE12F983}" name="R55VT"/>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DC2C9E93-B772-4594-9A93-6A30364255C1}" name="Table8" displayName="Table8" ref="AD1:AD7" totalsRowShown="0">
  <autoFilter ref="AD1:AD7" xr:uid="{8246D17D-954E-4526-BAB4-D873CFFAD6A1}"/>
  <tableColumns count="1">
    <tableColumn id="1" xr3:uid="{78BE1990-FA73-4368-964F-16105DA6FACB}" name="R75"/>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98E04930-16B0-4206-B458-96177FA759E6}" name="Table9" displayName="Table9" ref="AE1:AE7" totalsRowShown="0">
  <autoFilter ref="AE1:AE7" xr:uid="{5FA1FAEE-B924-4BF8-B106-3CDEC608B4F9}"/>
  <tableColumns count="1">
    <tableColumn id="1" xr3:uid="{5AF29D59-0C18-4643-8F6C-A96207A94515}" name="R75LP"/>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79D4AC3A-C42A-45D2-B2E7-18729A0D9836}" name="Table10" displayName="Table10" ref="AF1:AF11" totalsRowShown="0">
  <autoFilter ref="AF1:AF11" xr:uid="{7D900705-4FA5-40EE-BB51-4ADD507F5625}"/>
  <tableColumns count="1">
    <tableColumn id="1" xr3:uid="{B8A924D0-0F41-49E9-BB48-C5319D778E1C}" name="SR10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8" Type="http://schemas.openxmlformats.org/officeDocument/2006/relationships/table" Target="../tables/table9.xml"/><Relationship Id="rId13" Type="http://schemas.openxmlformats.org/officeDocument/2006/relationships/table" Target="../tables/table14.xml"/><Relationship Id="rId18" Type="http://schemas.openxmlformats.org/officeDocument/2006/relationships/table" Target="../tables/table19.xml"/><Relationship Id="rId3" Type="http://schemas.openxmlformats.org/officeDocument/2006/relationships/table" Target="../tables/table4.xml"/><Relationship Id="rId21" Type="http://schemas.openxmlformats.org/officeDocument/2006/relationships/table" Target="../tables/table22.xml"/><Relationship Id="rId7" Type="http://schemas.openxmlformats.org/officeDocument/2006/relationships/table" Target="../tables/table8.xml"/><Relationship Id="rId12" Type="http://schemas.openxmlformats.org/officeDocument/2006/relationships/table" Target="../tables/table13.xml"/><Relationship Id="rId17" Type="http://schemas.openxmlformats.org/officeDocument/2006/relationships/table" Target="../tables/table18.xml"/><Relationship Id="rId2" Type="http://schemas.openxmlformats.org/officeDocument/2006/relationships/table" Target="../tables/table3.xml"/><Relationship Id="rId16" Type="http://schemas.openxmlformats.org/officeDocument/2006/relationships/table" Target="../tables/table17.xml"/><Relationship Id="rId20" Type="http://schemas.openxmlformats.org/officeDocument/2006/relationships/table" Target="../tables/table21.xml"/><Relationship Id="rId1" Type="http://schemas.openxmlformats.org/officeDocument/2006/relationships/printerSettings" Target="../printerSettings/printerSettings6.bin"/><Relationship Id="rId6" Type="http://schemas.openxmlformats.org/officeDocument/2006/relationships/table" Target="../tables/table7.xml"/><Relationship Id="rId11" Type="http://schemas.openxmlformats.org/officeDocument/2006/relationships/table" Target="../tables/table12.xml"/><Relationship Id="rId5" Type="http://schemas.openxmlformats.org/officeDocument/2006/relationships/table" Target="../tables/table6.xml"/><Relationship Id="rId15" Type="http://schemas.openxmlformats.org/officeDocument/2006/relationships/table" Target="../tables/table16.xml"/><Relationship Id="rId23" Type="http://schemas.openxmlformats.org/officeDocument/2006/relationships/table" Target="../tables/table24.xml"/><Relationship Id="rId10" Type="http://schemas.openxmlformats.org/officeDocument/2006/relationships/table" Target="../tables/table11.xml"/><Relationship Id="rId19" Type="http://schemas.openxmlformats.org/officeDocument/2006/relationships/table" Target="../tables/table20.xml"/><Relationship Id="rId4" Type="http://schemas.openxmlformats.org/officeDocument/2006/relationships/table" Target="../tables/table5.xml"/><Relationship Id="rId9" Type="http://schemas.openxmlformats.org/officeDocument/2006/relationships/table" Target="../tables/table10.xml"/><Relationship Id="rId14" Type="http://schemas.openxmlformats.org/officeDocument/2006/relationships/table" Target="../tables/table15.xml"/><Relationship Id="rId22" Type="http://schemas.openxmlformats.org/officeDocument/2006/relationships/table" Target="../tables/table23.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omments" Target="../comments1.xml"/><Relationship Id="rId5" Type="http://schemas.openxmlformats.org/officeDocument/2006/relationships/table" Target="../tables/table2.xml"/><Relationship Id="rId4"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5095FF-2177-4A1F-B73B-20D69FA77945}">
  <sheetPr>
    <tabColor rgb="FF92D050"/>
  </sheetPr>
  <dimension ref="A2:R17"/>
  <sheetViews>
    <sheetView showGridLines="0" tabSelected="1" zoomScale="85" zoomScaleNormal="85" workbookViewId="0">
      <selection activeCell="Q2" sqref="Q2"/>
    </sheetView>
  </sheetViews>
  <sheetFormatPr defaultRowHeight="15" x14ac:dyDescent="0.25"/>
  <sheetData>
    <row r="2" spans="1:18" x14ac:dyDescent="0.25">
      <c r="R2" s="251" t="s">
        <v>363</v>
      </c>
    </row>
    <row r="6" spans="1:18" ht="15" customHeight="1" x14ac:dyDescent="0.25">
      <c r="N6" s="35"/>
      <c r="O6" s="35"/>
    </row>
    <row r="7" spans="1:18" ht="15" customHeight="1" x14ac:dyDescent="0.25">
      <c r="N7" s="35"/>
      <c r="O7" s="35"/>
    </row>
    <row r="8" spans="1:18" x14ac:dyDescent="0.25">
      <c r="N8" s="5"/>
      <c r="O8" s="5"/>
    </row>
    <row r="9" spans="1:18" x14ac:dyDescent="0.25">
      <c r="N9" s="5"/>
      <c r="O9" s="5"/>
    </row>
    <row r="10" spans="1:18" x14ac:dyDescent="0.25">
      <c r="N10" s="5"/>
      <c r="O10" s="5"/>
    </row>
    <row r="11" spans="1:18" x14ac:dyDescent="0.25">
      <c r="N11" s="5"/>
      <c r="O11" s="5"/>
    </row>
    <row r="13" spans="1:18" ht="15.75" x14ac:dyDescent="0.25">
      <c r="N13" s="34"/>
      <c r="O13" s="34"/>
    </row>
    <row r="14" spans="1:18" x14ac:dyDescent="0.25">
      <c r="A14" s="53"/>
    </row>
    <row r="15" spans="1:18" x14ac:dyDescent="0.25">
      <c r="A15" s="6"/>
      <c r="B15" s="4"/>
    </row>
    <row r="16" spans="1:18" x14ac:dyDescent="0.25">
      <c r="B16" s="4"/>
    </row>
    <row r="17" spans="1:1" x14ac:dyDescent="0.25">
      <c r="A17" s="7"/>
    </row>
  </sheetData>
  <sheetProtection algorithmName="SHA-512" hashValue="QhfR6/zhpNd27FddzjA3amY7AvAglpqcxbVn+nSaklPShr9tQ1MHIkbg0bas5sanxD6TEXMCuC8Ql7stEH402g==" saltValue="Ui2CJ5BtoET20vIuYHSTnw==" spinCount="100000" sheet="1" selectLockedCells="1"/>
  <pageMargins left="0.7" right="0.7" top="0.75" bottom="0.75" header="0.3" footer="0.3"/>
  <pageSetup paperSize="9" orientation="portrait" horizontalDpi="90" verticalDpi="90" r:id="rId1"/>
  <headerFooter>
    <oddHeader>&amp;C&amp;"Calibri"&amp;12&amp;K000000UNOFFICIAL&amp;1#</oddHeader>
    <oddFooter>&amp;C&amp;1#&amp;"Calibri"&amp;12&amp;K000000UNOFFICIAL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B7AE98-C596-4F4D-87EE-94FAC031644E}">
  <sheetPr>
    <tabColor theme="5" tint="0.39997558519241921"/>
  </sheetPr>
  <dimension ref="B1:W2"/>
  <sheetViews>
    <sheetView showGridLines="0" workbookViewId="0">
      <selection activeCell="O40" sqref="O40"/>
    </sheetView>
  </sheetViews>
  <sheetFormatPr defaultRowHeight="15" x14ac:dyDescent="0.25"/>
  <cols>
    <col min="1" max="1" width="2.28515625" customWidth="1"/>
    <col min="23" max="23" width="4.140625" customWidth="1"/>
  </cols>
  <sheetData>
    <row r="1" spans="2:23" ht="6.75" customHeight="1" x14ac:dyDescent="0.25"/>
    <row r="2" spans="2:23" x14ac:dyDescent="0.25">
      <c r="B2" s="48" t="s">
        <v>343</v>
      </c>
      <c r="C2" s="49"/>
      <c r="D2" s="49"/>
      <c r="E2" s="49"/>
      <c r="F2" s="49"/>
      <c r="G2" s="49"/>
      <c r="H2" s="49"/>
      <c r="I2" s="49"/>
      <c r="J2" s="49"/>
      <c r="K2" s="49"/>
      <c r="L2" s="49"/>
      <c r="M2" s="49"/>
      <c r="N2" s="49"/>
      <c r="O2" s="49"/>
      <c r="P2" s="49"/>
      <c r="Q2" s="49"/>
      <c r="R2" s="49"/>
      <c r="S2" s="49"/>
      <c r="T2" s="49"/>
      <c r="U2" s="49"/>
      <c r="V2" s="49"/>
      <c r="W2" s="49"/>
    </row>
  </sheetData>
  <sheetProtection sheet="1" objects="1" scenarios="1"/>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D28FA9-217C-40BE-84C6-9B0FA4FABC92}">
  <dimension ref="A1:AU201"/>
  <sheetViews>
    <sheetView showGridLines="0" workbookViewId="0"/>
  </sheetViews>
  <sheetFormatPr defaultRowHeight="15" x14ac:dyDescent="0.25"/>
  <cols>
    <col min="5" max="5" width="10.7109375" bestFit="1" customWidth="1"/>
    <col min="6" max="6" width="17" bestFit="1" customWidth="1"/>
    <col min="9" max="9" width="9.140625" customWidth="1"/>
    <col min="15" max="15" width="19.140625" bestFit="1" customWidth="1"/>
    <col min="16" max="16" width="12.7109375" bestFit="1" customWidth="1"/>
    <col min="17" max="17" width="10" bestFit="1" customWidth="1"/>
    <col min="18" max="18" width="19.140625" bestFit="1" customWidth="1"/>
    <col min="19" max="19" width="12.5703125" bestFit="1" customWidth="1"/>
    <col min="20" max="20" width="13.28515625" bestFit="1" customWidth="1"/>
    <col min="21" max="25" width="10" customWidth="1"/>
    <col min="26" max="26" width="11.28515625" customWidth="1"/>
    <col min="28" max="28" width="9.5703125" customWidth="1"/>
    <col min="33" max="33" width="10" bestFit="1" customWidth="1"/>
    <col min="36" max="36" width="14.85546875" customWidth="1"/>
    <col min="37" max="37" width="11.42578125" customWidth="1"/>
    <col min="38" max="38" width="14.85546875" customWidth="1"/>
    <col min="39" max="39" width="10.42578125" customWidth="1"/>
    <col min="40" max="40" width="11.42578125" customWidth="1"/>
    <col min="41" max="41" width="14.85546875" customWidth="1"/>
    <col min="42" max="44" width="13.28515625" customWidth="1"/>
    <col min="45" max="46" width="12.85546875" customWidth="1"/>
    <col min="47" max="47" width="17.5703125" customWidth="1"/>
  </cols>
  <sheetData>
    <row r="1" spans="2:47" x14ac:dyDescent="0.25">
      <c r="D1" s="362" t="s">
        <v>222</v>
      </c>
      <c r="E1" s="362"/>
      <c r="F1" s="362"/>
      <c r="G1" s="362"/>
      <c r="H1" s="362"/>
      <c r="I1" s="362"/>
      <c r="O1" t="s">
        <v>223</v>
      </c>
      <c r="P1" s="8" t="s">
        <v>224</v>
      </c>
      <c r="Q1" s="8" t="s">
        <v>225</v>
      </c>
      <c r="R1" s="8" t="s">
        <v>223</v>
      </c>
      <c r="S1" s="8" t="s">
        <v>226</v>
      </c>
      <c r="T1" s="8" t="s">
        <v>227</v>
      </c>
      <c r="Z1" t="s">
        <v>228</v>
      </c>
      <c r="AA1" t="s">
        <v>229</v>
      </c>
      <c r="AB1" t="s">
        <v>230</v>
      </c>
      <c r="AC1" t="s">
        <v>231</v>
      </c>
      <c r="AD1" t="s">
        <v>232</v>
      </c>
      <c r="AE1" t="s">
        <v>233</v>
      </c>
      <c r="AF1" t="s">
        <v>119</v>
      </c>
      <c r="AG1" t="s">
        <v>234</v>
      </c>
      <c r="AH1" t="s">
        <v>235</v>
      </c>
      <c r="AI1" t="s">
        <v>236</v>
      </c>
      <c r="AJ1" t="s">
        <v>237</v>
      </c>
      <c r="AK1" t="s">
        <v>238</v>
      </c>
      <c r="AL1" t="s">
        <v>239</v>
      </c>
      <c r="AM1" t="s">
        <v>240</v>
      </c>
      <c r="AN1" t="s">
        <v>241</v>
      </c>
      <c r="AO1" t="s">
        <v>242</v>
      </c>
      <c r="AP1" t="s">
        <v>243</v>
      </c>
      <c r="AQ1" t="s">
        <v>244</v>
      </c>
      <c r="AR1" t="s">
        <v>245</v>
      </c>
      <c r="AS1" t="s">
        <v>246</v>
      </c>
      <c r="AT1" t="s">
        <v>247</v>
      </c>
      <c r="AU1" t="s">
        <v>319</v>
      </c>
    </row>
    <row r="2" spans="2:47" ht="15.75" x14ac:dyDescent="0.25">
      <c r="B2" s="9"/>
      <c r="C2" s="9"/>
      <c r="D2" s="9" t="s">
        <v>64</v>
      </c>
      <c r="E2" s="9" t="s">
        <v>225</v>
      </c>
      <c r="F2" s="9" t="s">
        <v>248</v>
      </c>
      <c r="G2" s="9" t="s">
        <v>249</v>
      </c>
      <c r="H2" s="9" t="s">
        <v>249</v>
      </c>
      <c r="I2" s="9" t="s">
        <v>250</v>
      </c>
      <c r="O2" t="str">
        <f>'STEP 2 Detailed analysis'!X14&amp;'STEP 2 Detailed analysis'!X15</f>
        <v>SR1001</v>
      </c>
      <c r="P2" s="10" t="s">
        <v>228</v>
      </c>
      <c r="Q2">
        <v>0.3125</v>
      </c>
      <c r="R2" t="str">
        <f t="shared" ref="R2:R33" si="0">P2&amp;Q2</f>
        <v>EndSpray0.3125</v>
      </c>
      <c r="S2">
        <v>10</v>
      </c>
      <c r="T2">
        <v>25</v>
      </c>
      <c r="Z2">
        <v>0.3125</v>
      </c>
      <c r="AA2">
        <v>0.46875</v>
      </c>
      <c r="AB2">
        <v>0.40625</v>
      </c>
      <c r="AC2">
        <v>0.40625</v>
      </c>
      <c r="AD2">
        <v>0.40625</v>
      </c>
      <c r="AE2">
        <v>0.40625</v>
      </c>
      <c r="AF2">
        <v>0.5</v>
      </c>
      <c r="AG2">
        <v>0.47</v>
      </c>
      <c r="AH2">
        <v>0.7</v>
      </c>
      <c r="AI2">
        <v>0.4</v>
      </c>
      <c r="AJ2">
        <v>0.47</v>
      </c>
      <c r="AK2">
        <v>0.63</v>
      </c>
      <c r="AL2">
        <v>0.63</v>
      </c>
      <c r="AM2">
        <v>0.71</v>
      </c>
      <c r="AN2">
        <v>0.79</v>
      </c>
      <c r="AO2">
        <v>0.87</v>
      </c>
      <c r="AP2">
        <v>0.39</v>
      </c>
      <c r="AQ2">
        <v>0.4</v>
      </c>
      <c r="AR2">
        <v>0.4</v>
      </c>
      <c r="AS2">
        <v>0.4</v>
      </c>
      <c r="AT2">
        <v>0.4</v>
      </c>
      <c r="AU2">
        <v>1.05</v>
      </c>
    </row>
    <row r="3" spans="2:47" ht="15.75" x14ac:dyDescent="0.25">
      <c r="B3" s="9"/>
      <c r="C3" s="9"/>
      <c r="D3" s="9" t="s">
        <v>80</v>
      </c>
      <c r="E3" s="9" t="s">
        <v>124</v>
      </c>
      <c r="F3" s="9"/>
      <c r="G3" s="9" t="s">
        <v>111</v>
      </c>
      <c r="H3" s="11" t="s">
        <v>251</v>
      </c>
      <c r="I3" s="9" t="s">
        <v>93</v>
      </c>
      <c r="K3" s="14" t="s">
        <v>252</v>
      </c>
      <c r="M3" s="17"/>
      <c r="N3" s="17"/>
      <c r="O3" t="b">
        <f>O2=R193</f>
        <v>0</v>
      </c>
      <c r="P3" s="10" t="s">
        <v>228</v>
      </c>
      <c r="Q3">
        <v>0.40625</v>
      </c>
      <c r="R3" t="str">
        <f t="shared" si="0"/>
        <v>EndSpray0.40625</v>
      </c>
      <c r="S3">
        <v>10</v>
      </c>
      <c r="T3">
        <v>25</v>
      </c>
      <c r="Z3">
        <v>0.40625</v>
      </c>
      <c r="AA3">
        <v>0.546875</v>
      </c>
      <c r="AB3">
        <v>0.4375</v>
      </c>
      <c r="AC3">
        <v>0.4375</v>
      </c>
      <c r="AD3">
        <v>0.4375</v>
      </c>
      <c r="AE3">
        <v>0.4375</v>
      </c>
      <c r="AF3">
        <v>0.55000000000000004</v>
      </c>
      <c r="AG3">
        <v>0.55000000000000004</v>
      </c>
      <c r="AH3">
        <v>0.8</v>
      </c>
      <c r="AI3">
        <v>0.45</v>
      </c>
      <c r="AJ3">
        <v>0.55000000000000004</v>
      </c>
      <c r="AK3">
        <v>0.67</v>
      </c>
      <c r="AL3">
        <v>0.71</v>
      </c>
      <c r="AM3">
        <v>0.79</v>
      </c>
      <c r="AN3">
        <v>0.87</v>
      </c>
      <c r="AO3">
        <v>0.94</v>
      </c>
      <c r="AP3">
        <v>0.43</v>
      </c>
      <c r="AQ3">
        <v>0.45</v>
      </c>
      <c r="AR3">
        <v>0.45</v>
      </c>
      <c r="AS3">
        <v>0.45</v>
      </c>
      <c r="AT3">
        <v>0.45</v>
      </c>
      <c r="AU3">
        <v>1.1000000000000001</v>
      </c>
    </row>
    <row r="4" spans="2:47" ht="15.75" x14ac:dyDescent="0.25">
      <c r="B4" s="9"/>
      <c r="C4" s="9"/>
      <c r="D4" s="9">
        <f>'STEP 2 Detailed analysis'!$W$8/VLOOKUP('STEP 2 Detailed analysis'!Y8,'STEP 2 Detailed analysis'!BA4:BC7,3,FALSE)</f>
        <v>59.722748665809469</v>
      </c>
      <c r="E4" s="12">
        <f>'STEP 2 Detailed analysis'!X15</f>
        <v>1</v>
      </c>
      <c r="F4" t="s">
        <v>136</v>
      </c>
      <c r="G4">
        <f>VLOOKUP('STEP 2 Detailed analysis'!X14,$F5:$I21,2,FALSE)</f>
        <v>1.2563610598431867</v>
      </c>
      <c r="H4" s="3">
        <f t="shared" ref="H4:H11" si="1">G4/0.0864</f>
        <v>14.541215970407253</v>
      </c>
      <c r="I4">
        <f>VLOOKUP('STEP 2 Detailed analysis'!X14,$F5:$I21,4,FALSE)</f>
        <v>48.713799350656998</v>
      </c>
      <c r="K4" s="16">
        <f>I4</f>
        <v>48.713799350656998</v>
      </c>
      <c r="L4">
        <f>IF(K4=0,0,1)</f>
        <v>1</v>
      </c>
      <c r="M4" t="str">
        <f>ROUND(K4, 1) &amp; " m"</f>
        <v>48.7 m</v>
      </c>
      <c r="O4" t="s">
        <v>191</v>
      </c>
      <c r="P4" s="10" t="s">
        <v>228</v>
      </c>
      <c r="Q4">
        <v>0.5</v>
      </c>
      <c r="R4" t="str">
        <f t="shared" si="0"/>
        <v>EndSpray0.5</v>
      </c>
      <c r="S4">
        <v>10</v>
      </c>
      <c r="T4">
        <v>25</v>
      </c>
      <c r="Z4">
        <v>0.5</v>
      </c>
      <c r="AA4">
        <v>0.625</v>
      </c>
      <c r="AB4">
        <v>0.46875</v>
      </c>
      <c r="AC4">
        <v>0.46875</v>
      </c>
      <c r="AD4">
        <v>0.46875</v>
      </c>
      <c r="AE4">
        <v>0.46875</v>
      </c>
      <c r="AF4">
        <v>0.6</v>
      </c>
      <c r="AG4">
        <v>0.63</v>
      </c>
      <c r="AH4">
        <v>0.9</v>
      </c>
      <c r="AI4">
        <v>0.5</v>
      </c>
      <c r="AJ4">
        <v>0.63</v>
      </c>
      <c r="AK4">
        <v>0.71</v>
      </c>
      <c r="AL4">
        <v>0.79</v>
      </c>
      <c r="AM4">
        <v>0.87</v>
      </c>
      <c r="AN4">
        <v>0.89</v>
      </c>
      <c r="AO4">
        <v>1.02</v>
      </c>
      <c r="AP4">
        <v>0.47</v>
      </c>
      <c r="AQ4">
        <v>0.5</v>
      </c>
      <c r="AR4">
        <v>0.5</v>
      </c>
      <c r="AS4">
        <v>0.5</v>
      </c>
      <c r="AT4">
        <v>0.5</v>
      </c>
      <c r="AU4">
        <v>1.2</v>
      </c>
    </row>
    <row r="5" spans="2:47" ht="15.75" x14ac:dyDescent="0.25">
      <c r="B5" s="9"/>
      <c r="C5" s="9"/>
      <c r="D5" s="9"/>
      <c r="E5" s="9"/>
      <c r="F5" s="9" t="s">
        <v>253</v>
      </c>
      <c r="G5" s="12">
        <v>0</v>
      </c>
      <c r="H5" s="3">
        <f t="shared" si="1"/>
        <v>0</v>
      </c>
      <c r="I5">
        <v>0</v>
      </c>
      <c r="K5">
        <f>K4/2</f>
        <v>24.356899675328499</v>
      </c>
      <c r="L5">
        <f>IF(K4=0,0,12)</f>
        <v>12</v>
      </c>
      <c r="O5">
        <f>VLOOKUP(O2,R2:T201,2,FALSE)</f>
        <v>40</v>
      </c>
      <c r="P5" s="13" t="s">
        <v>228</v>
      </c>
      <c r="Q5">
        <v>0.59375</v>
      </c>
      <c r="R5" t="str">
        <f t="shared" si="0"/>
        <v>EndSpray0.59375</v>
      </c>
      <c r="S5">
        <v>10</v>
      </c>
      <c r="T5">
        <v>25</v>
      </c>
      <c r="Z5">
        <v>0.59375</v>
      </c>
      <c r="AA5">
        <v>0.703125</v>
      </c>
      <c r="AB5">
        <v>0.5078125</v>
      </c>
      <c r="AC5">
        <v>0.5078125</v>
      </c>
      <c r="AD5">
        <v>0.5</v>
      </c>
      <c r="AE5">
        <v>0.5</v>
      </c>
      <c r="AF5">
        <v>0.65</v>
      </c>
      <c r="AG5">
        <v>0.67</v>
      </c>
      <c r="AH5">
        <v>1</v>
      </c>
      <c r="AI5">
        <v>0.55000000000000004</v>
      </c>
      <c r="AJ5">
        <v>0.71</v>
      </c>
      <c r="AK5">
        <v>0.75</v>
      </c>
      <c r="AL5">
        <v>0.87</v>
      </c>
      <c r="AM5">
        <v>0.94</v>
      </c>
      <c r="AN5">
        <v>0.91</v>
      </c>
      <c r="AO5">
        <v>1.1000000000000001</v>
      </c>
      <c r="AP5">
        <v>0.51</v>
      </c>
      <c r="AQ5">
        <v>0.55000000000000004</v>
      </c>
      <c r="AR5">
        <v>0.55000000000000004</v>
      </c>
      <c r="AS5">
        <v>0.55000000000000004</v>
      </c>
      <c r="AT5">
        <v>0.55000000000000004</v>
      </c>
      <c r="AU5">
        <v>1.3</v>
      </c>
    </row>
    <row r="6" spans="2:47" ht="15.75" x14ac:dyDescent="0.25">
      <c r="B6" s="9"/>
      <c r="C6" s="9"/>
      <c r="D6" s="9"/>
      <c r="E6" s="9"/>
      <c r="F6" t="s">
        <v>235</v>
      </c>
      <c r="G6" s="3">
        <f t="shared" ref="G6" si="2">(((E$4*25.4)^2)*(PI()*SQRT(2)/4000)*SQRT(D$4*6.8947572931783))/11.5741</f>
        <v>1.2563610598431867</v>
      </c>
      <c r="H6" s="3">
        <f t="shared" ref="H6" si="3">G6/0.0864</f>
        <v>14.541215970407253</v>
      </c>
      <c r="I6">
        <f>(0.090564*D$4 + 23.02)*E$4 + (0.099688*D$4 + 14.958)</f>
        <v>49.340372379167583</v>
      </c>
      <c r="K6">
        <v>0</v>
      </c>
      <c r="L6">
        <f>IF(K4=0,0,10)</f>
        <v>10</v>
      </c>
      <c r="P6" s="10" t="s">
        <v>229</v>
      </c>
      <c r="Q6">
        <v>0.46875</v>
      </c>
      <c r="R6" t="str">
        <f t="shared" si="0"/>
        <v>R55A0.46875</v>
      </c>
      <c r="S6">
        <v>15</v>
      </c>
      <c r="T6">
        <v>30</v>
      </c>
      <c r="AB6">
        <v>0.546875</v>
      </c>
      <c r="AC6">
        <v>0.546875</v>
      </c>
      <c r="AD6">
        <v>0.53125</v>
      </c>
      <c r="AE6">
        <v>0.53125</v>
      </c>
      <c r="AF6">
        <v>0.7</v>
      </c>
      <c r="AG6">
        <v>0.71</v>
      </c>
      <c r="AH6">
        <v>1.1000000000000001</v>
      </c>
      <c r="AI6">
        <v>0.6</v>
      </c>
      <c r="AJ6">
        <v>0.79</v>
      </c>
      <c r="AK6">
        <v>0.79</v>
      </c>
      <c r="AL6">
        <v>0.94</v>
      </c>
      <c r="AM6">
        <v>1.02</v>
      </c>
      <c r="AN6">
        <v>0.94</v>
      </c>
      <c r="AO6">
        <v>1.18</v>
      </c>
      <c r="AP6">
        <v>0.55000000000000004</v>
      </c>
      <c r="AQ6">
        <v>0.6</v>
      </c>
      <c r="AR6">
        <v>0.6</v>
      </c>
      <c r="AS6">
        <v>0.6</v>
      </c>
      <c r="AT6">
        <v>0.6</v>
      </c>
      <c r="AU6">
        <v>1.4</v>
      </c>
    </row>
    <row r="7" spans="2:47" ht="15.75" x14ac:dyDescent="0.25">
      <c r="B7" s="9"/>
      <c r="C7" s="9"/>
      <c r="D7" s="9"/>
      <c r="E7" s="9"/>
      <c r="F7" s="9" t="s">
        <v>119</v>
      </c>
      <c r="G7" s="3">
        <f t="shared" ref="G7:G29" si="4">(((E$4*25.4)^2)*(PI()*SQRT(2)/4000)*SQRT(D$4*6.8947572931783))/11.5741</f>
        <v>1.2563610598431867</v>
      </c>
      <c r="H7" s="3">
        <f t="shared" si="1"/>
        <v>14.541215970407253</v>
      </c>
      <c r="I7">
        <f>(-0.0025*(D4^2) + 0.4849*D4 + 10.936)*E4+(0.001*(D4^2) - 0.0449*D4 + 16.85)</f>
        <v>48.713799350656998</v>
      </c>
      <c r="K7">
        <f>K$4/1.25</f>
        <v>38.971039480525597</v>
      </c>
      <c r="L7">
        <f>L4</f>
        <v>1</v>
      </c>
      <c r="O7" t="s">
        <v>192</v>
      </c>
      <c r="P7" s="10" t="s">
        <v>229</v>
      </c>
      <c r="Q7">
        <v>0.546875</v>
      </c>
      <c r="R7" t="str">
        <f t="shared" si="0"/>
        <v>R55A0.546875</v>
      </c>
      <c r="S7">
        <v>15</v>
      </c>
      <c r="T7">
        <v>30</v>
      </c>
      <c r="AB7">
        <v>0.625</v>
      </c>
      <c r="AC7">
        <v>0.625</v>
      </c>
      <c r="AD7">
        <v>0.5625</v>
      </c>
      <c r="AE7">
        <v>0.5625</v>
      </c>
      <c r="AF7">
        <v>0.75</v>
      </c>
      <c r="AG7">
        <v>0.75</v>
      </c>
      <c r="AH7">
        <v>1.2</v>
      </c>
      <c r="AI7">
        <v>0.65</v>
      </c>
      <c r="AJ7">
        <v>0.87</v>
      </c>
      <c r="AK7">
        <v>0.83</v>
      </c>
      <c r="AL7">
        <v>1.02</v>
      </c>
      <c r="AM7">
        <v>1.1000000000000001</v>
      </c>
      <c r="AN7">
        <v>0.98</v>
      </c>
      <c r="AO7">
        <v>1.26</v>
      </c>
      <c r="AP7">
        <v>0.59000000000000008</v>
      </c>
      <c r="AQ7">
        <v>0.65</v>
      </c>
      <c r="AR7">
        <v>0.65</v>
      </c>
      <c r="AS7">
        <v>0.65</v>
      </c>
      <c r="AT7">
        <v>0.65</v>
      </c>
      <c r="AU7">
        <v>1.5</v>
      </c>
    </row>
    <row r="8" spans="2:47" ht="15.75" x14ac:dyDescent="0.25">
      <c r="B8" s="9"/>
      <c r="C8" s="9"/>
      <c r="E8" s="9"/>
      <c r="F8" s="9" t="s">
        <v>236</v>
      </c>
      <c r="G8" s="3">
        <f>(((E$4*25.4)^2)*(PI()*SQRT(2)/4000)*SQRT(D$4*6.8947572931783))/11.5741</f>
        <v>1.2563610598431867</v>
      </c>
      <c r="H8" s="3">
        <f t="shared" si="1"/>
        <v>14.541215970407253</v>
      </c>
      <c r="I8">
        <f>(-0.002*(D4^2)+0.5144*D4+8.0566)*E4+(-0.0006*(D4^2) + 0.1088*D4 + 9.6999)</f>
        <v>45.702019527213892</v>
      </c>
      <c r="K8">
        <f>K7/2</f>
        <v>19.485519740262799</v>
      </c>
      <c r="L8">
        <f>L5-0.2</f>
        <v>11.8</v>
      </c>
      <c r="O8">
        <f>VLOOKUP(O2,R2:T201,3,FALSE)</f>
        <v>110</v>
      </c>
      <c r="P8" s="10" t="s">
        <v>229</v>
      </c>
      <c r="Q8">
        <v>0.625</v>
      </c>
      <c r="R8" t="str">
        <f t="shared" si="0"/>
        <v>R55A0.625</v>
      </c>
      <c r="S8">
        <v>15</v>
      </c>
      <c r="T8">
        <v>30</v>
      </c>
      <c r="Y8" t="s">
        <v>254</v>
      </c>
      <c r="AC8">
        <v>0.703125</v>
      </c>
      <c r="AF8">
        <v>0.8</v>
      </c>
      <c r="AG8">
        <v>0.79</v>
      </c>
      <c r="AH8">
        <v>1.3</v>
      </c>
      <c r="AI8">
        <v>0.7</v>
      </c>
      <c r="AJ8">
        <v>0.94</v>
      </c>
      <c r="AK8">
        <v>0.87</v>
      </c>
      <c r="AL8">
        <v>1.1000000000000001</v>
      </c>
      <c r="AM8">
        <v>1.18</v>
      </c>
      <c r="AN8">
        <v>1.02</v>
      </c>
      <c r="AO8">
        <v>1.34</v>
      </c>
      <c r="AP8">
        <v>0.63</v>
      </c>
      <c r="AS8">
        <v>0.7</v>
      </c>
      <c r="AT8">
        <v>0.7</v>
      </c>
      <c r="AU8">
        <v>1.6</v>
      </c>
    </row>
    <row r="9" spans="2:47" ht="15.75" x14ac:dyDescent="0.25">
      <c r="B9" s="9"/>
      <c r="C9" s="9"/>
      <c r="E9" s="9"/>
      <c r="F9" s="9" t="s">
        <v>255</v>
      </c>
      <c r="G9" s="3">
        <f t="shared" si="4"/>
        <v>1.2563610598431867</v>
      </c>
      <c r="H9" s="3">
        <f t="shared" si="1"/>
        <v>14.541215970407253</v>
      </c>
      <c r="I9">
        <f>(-0.0013*(D4^2) + 0.247*D4 + 13.122)*E4+(0.1124*D4 + 5.763)</f>
        <v>35.712507149832646</v>
      </c>
      <c r="K9">
        <v>0</v>
      </c>
      <c r="L9">
        <f>L6</f>
        <v>10</v>
      </c>
      <c r="P9" s="10" t="s">
        <v>229</v>
      </c>
      <c r="Q9">
        <v>0.703125</v>
      </c>
      <c r="R9" t="str">
        <f t="shared" si="0"/>
        <v>R55A0.703125</v>
      </c>
      <c r="S9">
        <v>15</v>
      </c>
      <c r="T9">
        <v>30</v>
      </c>
      <c r="W9" t="s">
        <v>228</v>
      </c>
      <c r="X9" t="s">
        <v>256</v>
      </c>
      <c r="Y9" t="s">
        <v>257</v>
      </c>
      <c r="AF9">
        <v>0.85</v>
      </c>
      <c r="AG9">
        <v>0.83</v>
      </c>
      <c r="AH9">
        <v>1.4</v>
      </c>
      <c r="AI9">
        <v>0.75</v>
      </c>
      <c r="AJ9">
        <v>1.02</v>
      </c>
      <c r="AK9">
        <v>0.91</v>
      </c>
      <c r="AL9">
        <v>1.18</v>
      </c>
      <c r="AM9">
        <v>1.26</v>
      </c>
      <c r="AN9">
        <v>1.06</v>
      </c>
      <c r="AO9">
        <v>1.42</v>
      </c>
      <c r="AP9">
        <v>0.67</v>
      </c>
      <c r="AS9">
        <v>0.75</v>
      </c>
      <c r="AT9">
        <v>0.75</v>
      </c>
      <c r="AU9">
        <v>1.75</v>
      </c>
    </row>
    <row r="10" spans="2:47" ht="15.75" x14ac:dyDescent="0.25">
      <c r="B10" s="9"/>
      <c r="C10" s="9"/>
      <c r="E10" s="9"/>
      <c r="F10" s="9" t="s">
        <v>244</v>
      </c>
      <c r="G10" s="3">
        <f t="shared" si="4"/>
        <v>1.2563610598431867</v>
      </c>
      <c r="H10" s="3">
        <f t="shared" si="1"/>
        <v>14.541215970407253</v>
      </c>
      <c r="I10">
        <f>(0.0356*(D4^2) - 3.4172*D4 + 112.75)*E4+(-0.0154*(D4^2) + 1.6354*D4 - 31.176)</f>
        <v>47.209501932889538</v>
      </c>
      <c r="K10">
        <f>K$4/1.75</f>
        <v>27.836456771803999</v>
      </c>
      <c r="L10">
        <f>L7</f>
        <v>1</v>
      </c>
      <c r="P10" s="10" t="s">
        <v>230</v>
      </c>
      <c r="Q10">
        <v>0.40625</v>
      </c>
      <c r="R10" t="str">
        <f t="shared" si="0"/>
        <v>R55i VT0.40625</v>
      </c>
      <c r="S10">
        <v>15</v>
      </c>
      <c r="T10">
        <v>60</v>
      </c>
      <c r="W10" t="s">
        <v>229</v>
      </c>
      <c r="X10" t="s">
        <v>258</v>
      </c>
      <c r="Y10" t="s">
        <v>257</v>
      </c>
      <c r="AF10">
        <v>0.9</v>
      </c>
      <c r="AG10">
        <v>0.87</v>
      </c>
      <c r="AI10">
        <v>0.8</v>
      </c>
      <c r="AJ10">
        <v>1.1000000000000001</v>
      </c>
      <c r="AK10">
        <v>0.94</v>
      </c>
      <c r="AL10">
        <v>1.26</v>
      </c>
      <c r="AM10">
        <v>1.34</v>
      </c>
      <c r="AN10">
        <v>1.08</v>
      </c>
      <c r="AO10">
        <v>1.5</v>
      </c>
      <c r="AP10">
        <v>0.71</v>
      </c>
      <c r="AS10">
        <v>0.8</v>
      </c>
      <c r="AT10">
        <v>0.8</v>
      </c>
      <c r="AU10">
        <v>1.9</v>
      </c>
    </row>
    <row r="11" spans="2:47" ht="15.75" x14ac:dyDescent="0.25">
      <c r="B11" s="9"/>
      <c r="C11" s="9"/>
      <c r="E11" s="9"/>
      <c r="F11" s="9" t="s">
        <v>246</v>
      </c>
      <c r="G11" s="3">
        <f t="shared" si="4"/>
        <v>1.2563610598431867</v>
      </c>
      <c r="H11" s="3">
        <f t="shared" si="1"/>
        <v>14.541215970407253</v>
      </c>
      <c r="I11">
        <f>(0.00000306449*(D4^4) - 0.000971094*(D4^3) + 0.110914*(D4^2) - 5.30613*D4 + 121.015)*E4+(0.0000939471*(D4^3) - 0.0202484*(D4^2) + 1.53286*(D4) - 26.0225)</f>
        <v>45.16649901816367</v>
      </c>
      <c r="K11">
        <f>K10/2</f>
        <v>13.918228385901999</v>
      </c>
      <c r="L11">
        <f>L8-0.2</f>
        <v>11.600000000000001</v>
      </c>
      <c r="P11" s="10" t="s">
        <v>230</v>
      </c>
      <c r="Q11">
        <v>0.4375</v>
      </c>
      <c r="R11" t="str">
        <f t="shared" si="0"/>
        <v>R55i VT0.4375</v>
      </c>
      <c r="S11">
        <v>15</v>
      </c>
      <c r="T11">
        <v>60</v>
      </c>
      <c r="W11" t="s">
        <v>230</v>
      </c>
      <c r="X11" t="s">
        <v>259</v>
      </c>
      <c r="Y11" t="s">
        <v>257</v>
      </c>
      <c r="AF11">
        <v>1</v>
      </c>
      <c r="AG11">
        <v>0.91</v>
      </c>
      <c r="AK11">
        <v>1.02</v>
      </c>
      <c r="AL11">
        <v>1.34</v>
      </c>
      <c r="AM11">
        <v>1.42</v>
      </c>
      <c r="AN11">
        <v>1.1000000000000001</v>
      </c>
      <c r="AO11">
        <v>1.57</v>
      </c>
      <c r="AP11">
        <v>0.79</v>
      </c>
      <c r="AS11">
        <v>0.85</v>
      </c>
      <c r="AT11">
        <v>0.85</v>
      </c>
    </row>
    <row r="12" spans="2:47" ht="15.75" x14ac:dyDescent="0.25">
      <c r="B12" s="9"/>
      <c r="C12" s="9"/>
      <c r="E12" s="9"/>
      <c r="F12" t="s">
        <v>234</v>
      </c>
      <c r="G12" s="3">
        <f t="shared" si="4"/>
        <v>1.2563610598431867</v>
      </c>
      <c r="H12" s="3">
        <f t="shared" ref="H12:H21" si="5">G12/0.0864</f>
        <v>14.541215970407253</v>
      </c>
      <c r="I12">
        <f>(0.11358*D4 + 25.718)*E4+ (0.13489*D4 + 8.8395)</f>
        <v>49.396811360993681</v>
      </c>
      <c r="K12">
        <f>K29/2</f>
        <v>6.0892249188321248</v>
      </c>
      <c r="L12">
        <f>L26-0.2</f>
        <v>11.200000000000003</v>
      </c>
      <c r="P12" s="10" t="s">
        <v>230</v>
      </c>
      <c r="Q12">
        <v>0.46875</v>
      </c>
      <c r="R12" t="str">
        <f t="shared" si="0"/>
        <v>R55i VT0.46875</v>
      </c>
      <c r="S12">
        <v>15</v>
      </c>
      <c r="T12">
        <v>60</v>
      </c>
      <c r="W12" t="s">
        <v>231</v>
      </c>
      <c r="X12" t="s">
        <v>260</v>
      </c>
      <c r="Y12" t="s">
        <v>257</v>
      </c>
      <c r="AG12">
        <v>0.94</v>
      </c>
      <c r="AK12">
        <v>1.1000000000000001</v>
      </c>
      <c r="AM12">
        <v>1.5</v>
      </c>
      <c r="AN12">
        <v>1.18</v>
      </c>
      <c r="AO12">
        <v>1.65</v>
      </c>
      <c r="AP12">
        <v>0.87</v>
      </c>
      <c r="AS12">
        <v>0.9</v>
      </c>
      <c r="AT12">
        <v>0.9</v>
      </c>
    </row>
    <row r="13" spans="2:47" ht="15.75" x14ac:dyDescent="0.25">
      <c r="B13" s="9"/>
      <c r="C13" s="9"/>
      <c r="E13" s="9"/>
      <c r="F13" t="s">
        <v>237</v>
      </c>
      <c r="G13" s="3">
        <f t="shared" si="4"/>
        <v>1.2563610598431867</v>
      </c>
      <c r="H13" s="3">
        <f t="shared" si="5"/>
        <v>14.541215970407253</v>
      </c>
      <c r="I13">
        <f>(-0.00000089498*(D4^4) + 0.00033447*(D4^3) - 0.048912*(D4^2) + 3.421*D4 - 62.869)*E4 + (-0.000037947*(D4^3) + 0.010772*(D4^2) - 0.95489*D4 + 47.537)</f>
        <v>47.69200713839394</v>
      </c>
      <c r="K13">
        <f>K$4/6</f>
        <v>8.1189665584428337</v>
      </c>
      <c r="L13">
        <f>L29</f>
        <v>1</v>
      </c>
      <c r="P13" s="10" t="s">
        <v>230</v>
      </c>
      <c r="Q13">
        <v>0.5078125</v>
      </c>
      <c r="R13" t="str">
        <f t="shared" si="0"/>
        <v>R55i VT0.5078125</v>
      </c>
      <c r="S13">
        <v>15</v>
      </c>
      <c r="T13">
        <v>60</v>
      </c>
      <c r="W13" t="s">
        <v>232</v>
      </c>
      <c r="X13" t="s">
        <v>261</v>
      </c>
      <c r="Y13" t="s">
        <v>257</v>
      </c>
      <c r="AK13">
        <v>1.18</v>
      </c>
      <c r="AN13">
        <v>1.28</v>
      </c>
      <c r="AO13">
        <v>1.73</v>
      </c>
      <c r="AP13">
        <v>0.94</v>
      </c>
      <c r="AS13">
        <v>0.95</v>
      </c>
      <c r="AT13">
        <v>0.95</v>
      </c>
    </row>
    <row r="14" spans="2:47" ht="15.75" x14ac:dyDescent="0.25">
      <c r="B14" s="9"/>
      <c r="C14" s="9"/>
      <c r="E14" s="9"/>
      <c r="F14" t="s">
        <v>238</v>
      </c>
      <c r="G14" s="3">
        <f t="shared" si="4"/>
        <v>1.2563610598431867</v>
      </c>
      <c r="H14" s="3">
        <f t="shared" si="5"/>
        <v>14.541215970407253</v>
      </c>
      <c r="I14">
        <f>(0.089332*D4 + 25.286)*E4 + (0.15421*D4 + 9.1776)</f>
        <v>49.008597655568572</v>
      </c>
      <c r="K14">
        <f>K13/2</f>
        <v>4.0594832792214168</v>
      </c>
      <c r="L14">
        <f>L12-0.2</f>
        <v>11.000000000000004</v>
      </c>
      <c r="P14" s="10" t="s">
        <v>230</v>
      </c>
      <c r="Q14">
        <v>0.546875</v>
      </c>
      <c r="R14" t="str">
        <f t="shared" si="0"/>
        <v>R55i VT0.546875</v>
      </c>
      <c r="S14">
        <v>15</v>
      </c>
      <c r="T14">
        <v>60</v>
      </c>
      <c r="W14" t="s">
        <v>233</v>
      </c>
      <c r="X14" t="s">
        <v>262</v>
      </c>
      <c r="Y14" t="s">
        <v>257</v>
      </c>
      <c r="AN14">
        <v>1.38</v>
      </c>
      <c r="AO14">
        <v>1.77</v>
      </c>
      <c r="AS14">
        <v>1</v>
      </c>
      <c r="AT14">
        <v>1</v>
      </c>
    </row>
    <row r="15" spans="2:47" ht="15.75" x14ac:dyDescent="0.25">
      <c r="B15" s="9"/>
      <c r="C15" s="9"/>
      <c r="E15" s="9"/>
      <c r="F15" t="s">
        <v>239</v>
      </c>
      <c r="G15" s="3">
        <f t="shared" si="4"/>
        <v>1.2563610598431867</v>
      </c>
      <c r="H15" s="3">
        <f t="shared" si="5"/>
        <v>14.541215970407253</v>
      </c>
      <c r="I15">
        <f>(0.000044866*(D4^3) - 0.015146*(D4^2) + 1.7579*D4 - 35.01)*E4 + (0.0021902*(D4^2) - 0.34495*D4 + 35.094)</f>
        <v>47.815756289987611</v>
      </c>
      <c r="K15">
        <v>0</v>
      </c>
      <c r="L15">
        <f>L28</f>
        <v>10</v>
      </c>
      <c r="P15" s="13" t="s">
        <v>230</v>
      </c>
      <c r="Q15">
        <v>0.625</v>
      </c>
      <c r="R15" t="str">
        <f t="shared" si="0"/>
        <v>R55i VT0.625</v>
      </c>
      <c r="S15">
        <v>15</v>
      </c>
      <c r="T15">
        <v>60</v>
      </c>
      <c r="W15" t="s">
        <v>119</v>
      </c>
      <c r="X15" t="s">
        <v>263</v>
      </c>
      <c r="Y15" t="s">
        <v>264</v>
      </c>
      <c r="AN15">
        <v>1.48</v>
      </c>
    </row>
    <row r="16" spans="2:47" x14ac:dyDescent="0.25">
      <c r="F16" t="s">
        <v>240</v>
      </c>
      <c r="G16" s="3">
        <f t="shared" si="4"/>
        <v>1.2563610598431867</v>
      </c>
      <c r="H16" s="3">
        <f t="shared" si="5"/>
        <v>14.541215970407253</v>
      </c>
      <c r="I16">
        <f>(0.000035254*(D4^3) - 0.012972*(D4^2) + 1.6281*D4 - 33.839)*E4 + (0.0015752*(D4^2) - 0.27765*D4 + 35.053)</f>
        <v>48.726192716946734</v>
      </c>
      <c r="J16" s="3"/>
      <c r="P16" s="10" t="s">
        <v>231</v>
      </c>
      <c r="Q16">
        <v>0.40625</v>
      </c>
      <c r="R16" t="str">
        <f t="shared" si="0"/>
        <v>R55VT0.40625</v>
      </c>
      <c r="S16">
        <v>15</v>
      </c>
      <c r="T16">
        <v>60</v>
      </c>
      <c r="W16" t="s">
        <v>234</v>
      </c>
      <c r="X16" t="s">
        <v>266</v>
      </c>
      <c r="Y16" s="20" t="s">
        <v>267</v>
      </c>
      <c r="AN16">
        <v>1.58</v>
      </c>
    </row>
    <row r="17" spans="1:25" x14ac:dyDescent="0.25">
      <c r="F17" t="s">
        <v>241</v>
      </c>
      <c r="G17" s="3">
        <f t="shared" si="4"/>
        <v>1.2563610598431867</v>
      </c>
      <c r="H17" s="3">
        <f t="shared" si="5"/>
        <v>14.541215970407253</v>
      </c>
      <c r="I17">
        <f>(0.000093007*(D4^3) - 0.021489*(D4^2) + 1.349*D4 - 32.054)*(E4^2) + (-0.00014182*(D4^3) + 0.029303*(D4^2) - 1.2596*D4 + 46.268)*E4 + (0.00010813*(D4^3) - 0.026462*(D4^2) + 1.9137*D4 - 29.07)</f>
        <v>50.896504073487208</v>
      </c>
      <c r="J17" s="3"/>
      <c r="P17" s="10" t="s">
        <v>231</v>
      </c>
      <c r="Q17">
        <v>0.4375</v>
      </c>
      <c r="R17" t="str">
        <f t="shared" si="0"/>
        <v>R55VT0.4375</v>
      </c>
      <c r="S17">
        <v>15</v>
      </c>
      <c r="T17">
        <v>60</v>
      </c>
      <c r="W17" t="s">
        <v>235</v>
      </c>
      <c r="X17" t="s">
        <v>268</v>
      </c>
      <c r="Y17" t="s">
        <v>264</v>
      </c>
    </row>
    <row r="18" spans="1:25" x14ac:dyDescent="0.25">
      <c r="F18" t="s">
        <v>242</v>
      </c>
      <c r="G18" s="3">
        <f t="shared" si="4"/>
        <v>1.2563610598431867</v>
      </c>
      <c r="H18" s="3">
        <f t="shared" si="5"/>
        <v>14.541215970407253</v>
      </c>
      <c r="I18">
        <f>(0.0011223*(D4^2) - 0.071734*D4 - 7.9782)*(E4^2) + (0.000045431*(D4^3) - 0.018338*(D4^2) + 2.0332*D4 - 21.777)*E4 + (0.0033258*(D4^2) - 0.4207*D4 + 27.021)</f>
        <v>49.419681005151553</v>
      </c>
      <c r="J18" s="3"/>
      <c r="P18" s="10" t="s">
        <v>231</v>
      </c>
      <c r="Q18">
        <v>0.46875</v>
      </c>
      <c r="R18" t="str">
        <f t="shared" si="0"/>
        <v>R55VT0.46875</v>
      </c>
      <c r="S18">
        <v>15</v>
      </c>
      <c r="T18">
        <v>60</v>
      </c>
      <c r="W18" t="s">
        <v>236</v>
      </c>
      <c r="X18" t="s">
        <v>269</v>
      </c>
      <c r="Y18" t="s">
        <v>264</v>
      </c>
    </row>
    <row r="19" spans="1:25" x14ac:dyDescent="0.25">
      <c r="F19" t="s">
        <v>245</v>
      </c>
      <c r="G19" s="3">
        <f t="shared" si="4"/>
        <v>1.2563610598431867</v>
      </c>
      <c r="H19" s="3">
        <f t="shared" si="5"/>
        <v>14.541215970407253</v>
      </c>
      <c r="I19">
        <f>(0.035995*(D4^2) - 3.3552*D4 + 110.4)*E4 + ( -0.015554*(D4^2) + 1.612*D4 - 28.688)</f>
        <v>50.512400448065847</v>
      </c>
      <c r="J19" s="3"/>
      <c r="P19" s="10" t="s">
        <v>231</v>
      </c>
      <c r="Q19">
        <v>0.5078125</v>
      </c>
      <c r="R19" t="str">
        <f t="shared" si="0"/>
        <v>R55VT0.5078125</v>
      </c>
      <c r="S19">
        <v>15</v>
      </c>
      <c r="T19">
        <v>60</v>
      </c>
      <c r="W19" t="s">
        <v>237</v>
      </c>
      <c r="X19" t="s">
        <v>270</v>
      </c>
      <c r="Y19" s="20" t="s">
        <v>271</v>
      </c>
    </row>
    <row r="20" spans="1:25" x14ac:dyDescent="0.25">
      <c r="F20" t="s">
        <v>247</v>
      </c>
      <c r="G20" s="3">
        <f t="shared" si="4"/>
        <v>1.2563610598431867</v>
      </c>
      <c r="H20" s="3">
        <f t="shared" si="5"/>
        <v>14.541215970407253</v>
      </c>
      <c r="I20">
        <f>(0.10109*D4 + 28.303)*E4 + (0.13564*D4 + 5.5802)</f>
        <v>48.021366291657074</v>
      </c>
      <c r="J20" s="3"/>
      <c r="P20" s="10" t="s">
        <v>231</v>
      </c>
      <c r="Q20">
        <v>0.546875</v>
      </c>
      <c r="R20" t="str">
        <f t="shared" si="0"/>
        <v>R55VT0.546875</v>
      </c>
      <c r="S20">
        <v>15</v>
      </c>
      <c r="T20">
        <v>60</v>
      </c>
      <c r="W20" t="s">
        <v>238</v>
      </c>
      <c r="X20" t="s">
        <v>272</v>
      </c>
      <c r="Y20" t="s">
        <v>273</v>
      </c>
    </row>
    <row r="21" spans="1:25" x14ac:dyDescent="0.25">
      <c r="F21" t="s">
        <v>319</v>
      </c>
      <c r="G21" s="3">
        <f t="shared" ref="G21" si="6">(((E$4*25.4)^2)*(PI()*SQRT(2)/4000)*SQRT(D$4*6.8947572931783))/11.5741</f>
        <v>1.2563610598431867</v>
      </c>
      <c r="H21" s="3">
        <f t="shared" si="5"/>
        <v>14.541215970407253</v>
      </c>
      <c r="I21">
        <f xml:space="preserve"> (0.11386*D4 + 19.595)*E4 + (-0.0019446*(D4^2) + 0.43294*D4 + 5.9824)</f>
        <v>51.297786645699972</v>
      </c>
      <c r="J21" s="3"/>
      <c r="P21" s="10" t="s">
        <v>231</v>
      </c>
      <c r="Q21">
        <v>0.625</v>
      </c>
      <c r="R21" t="str">
        <f t="shared" si="0"/>
        <v>R55VT0.625</v>
      </c>
      <c r="S21">
        <v>15</v>
      </c>
      <c r="T21">
        <v>60</v>
      </c>
      <c r="W21" t="s">
        <v>239</v>
      </c>
      <c r="X21" t="s">
        <v>274</v>
      </c>
      <c r="Y21" t="s">
        <v>264</v>
      </c>
    </row>
    <row r="22" spans="1:25" x14ac:dyDescent="0.25">
      <c r="P22" s="13" t="s">
        <v>231</v>
      </c>
      <c r="Q22">
        <v>0.703125</v>
      </c>
      <c r="R22" t="str">
        <f t="shared" si="0"/>
        <v>R55VT0.703125</v>
      </c>
      <c r="S22">
        <v>15</v>
      </c>
      <c r="T22">
        <v>60</v>
      </c>
      <c r="W22" t="s">
        <v>240</v>
      </c>
      <c r="X22" t="s">
        <v>275</v>
      </c>
      <c r="Y22" s="20" t="s">
        <v>267</v>
      </c>
    </row>
    <row r="23" spans="1:25" x14ac:dyDescent="0.25">
      <c r="P23" s="10" t="s">
        <v>232</v>
      </c>
      <c r="Q23">
        <v>0.40625</v>
      </c>
      <c r="R23" t="str">
        <f t="shared" si="0"/>
        <v>R750.40625</v>
      </c>
      <c r="S23">
        <v>40</v>
      </c>
      <c r="T23">
        <v>60</v>
      </c>
      <c r="W23" t="s">
        <v>241</v>
      </c>
      <c r="X23" t="s">
        <v>276</v>
      </c>
      <c r="Y23" s="20" t="s">
        <v>267</v>
      </c>
    </row>
    <row r="24" spans="1:25" ht="15.75" x14ac:dyDescent="0.25">
      <c r="F24" s="9" t="s">
        <v>232</v>
      </c>
      <c r="G24" s="3">
        <f t="shared" si="4"/>
        <v>1.2563610598431867</v>
      </c>
      <c r="H24" s="3">
        <f>G24/0.0864</f>
        <v>14.541215970407253</v>
      </c>
      <c r="I24">
        <f>(-0.133*(D4^2) + 11.088*D4 - 356.56)*(E4^2) + (0.1322*(D4^2) - 11.078*D4 + 369.27)*E4 + (-0.0332*(D4^2) + 2.8615*D4 - 79.243)</f>
        <v>-16.310555284909412</v>
      </c>
      <c r="K24">
        <v>0</v>
      </c>
      <c r="L24">
        <f>L9</f>
        <v>10</v>
      </c>
      <c r="P24" s="10" t="s">
        <v>232</v>
      </c>
      <c r="Q24">
        <v>0.4375</v>
      </c>
      <c r="R24" t="str">
        <f t="shared" si="0"/>
        <v>R750.4375</v>
      </c>
      <c r="S24">
        <v>40</v>
      </c>
      <c r="T24">
        <v>60</v>
      </c>
      <c r="W24" t="s">
        <v>242</v>
      </c>
      <c r="X24" t="s">
        <v>277</v>
      </c>
      <c r="Y24" s="20" t="s">
        <v>267</v>
      </c>
    </row>
    <row r="25" spans="1:25" ht="15.75" x14ac:dyDescent="0.25">
      <c r="F25" s="9" t="s">
        <v>233</v>
      </c>
      <c r="G25" s="3">
        <f t="shared" si="4"/>
        <v>1.2563610598431867</v>
      </c>
      <c r="H25" s="3">
        <f>G25/0.0864</f>
        <v>14.541215970407253</v>
      </c>
      <c r="I25">
        <f>-38.4*(E4^2)+(0.0075*(D4^2) - 0.53463*D4 + 59.846)*E4 + (-0.007147*(D4^2) + 0.59144*D4 - 9.8809)</f>
        <v>16.217032119699038</v>
      </c>
      <c r="K25">
        <f>K$4/2.5</f>
        <v>19.485519740262799</v>
      </c>
      <c r="L25">
        <f>L10</f>
        <v>1</v>
      </c>
      <c r="P25" s="10" t="s">
        <v>232</v>
      </c>
      <c r="Q25">
        <v>0.46875</v>
      </c>
      <c r="R25" t="str">
        <f t="shared" si="0"/>
        <v>R750.46875</v>
      </c>
      <c r="S25">
        <v>40</v>
      </c>
      <c r="T25">
        <v>60</v>
      </c>
      <c r="W25" t="s">
        <v>278</v>
      </c>
      <c r="X25" t="s">
        <v>279</v>
      </c>
      <c r="Y25" s="20" t="s">
        <v>271</v>
      </c>
    </row>
    <row r="26" spans="1:25" ht="15.75" x14ac:dyDescent="0.25">
      <c r="F26" s="9" t="s">
        <v>231</v>
      </c>
      <c r="G26" s="3">
        <f t="shared" si="4"/>
        <v>1.2563610598431867</v>
      </c>
      <c r="H26" s="3">
        <f>G26/0.0864</f>
        <v>14.541215970407253</v>
      </c>
      <c r="I26">
        <f>(0.01841*(D4^2) - 1.8944*D4 + 29.244)*(E4^2)+(-0.0070095*(D4^2) + 1.0694*D4 - 9.6824)*E4 + (0.0031098*(D4^2) - 0.38277*(D4) + 18.288)</f>
        <v>17.473691221881715</v>
      </c>
      <c r="K26">
        <f>K25/2</f>
        <v>9.7427598701313993</v>
      </c>
      <c r="L26">
        <f>L11-0.2</f>
        <v>11.400000000000002</v>
      </c>
      <c r="P26" s="10" t="s">
        <v>232</v>
      </c>
      <c r="Q26">
        <v>0.5</v>
      </c>
      <c r="R26" t="str">
        <f t="shared" si="0"/>
        <v>R750.5</v>
      </c>
      <c r="S26">
        <v>40</v>
      </c>
      <c r="T26">
        <v>60</v>
      </c>
      <c r="W26" t="s">
        <v>244</v>
      </c>
      <c r="X26" t="s">
        <v>280</v>
      </c>
      <c r="Y26" s="20" t="s">
        <v>271</v>
      </c>
    </row>
    <row r="27" spans="1:25" ht="15.75" x14ac:dyDescent="0.25">
      <c r="F27" s="9" t="s">
        <v>230</v>
      </c>
      <c r="G27" s="3">
        <f t="shared" si="4"/>
        <v>1.2563610598431867</v>
      </c>
      <c r="H27" s="3">
        <f>G27/0.0864</f>
        <v>14.541215970407253</v>
      </c>
      <c r="I27">
        <f>(-0.0014029*(D4^2) + 0.15702*D4 - 6.7456)*E4+(-0.0010732*(D4^2) + 0.12912*D4 + 11.976)</f>
        <v>13.487697213062074</v>
      </c>
      <c r="K27">
        <v>0</v>
      </c>
      <c r="L27">
        <f>L24</f>
        <v>10</v>
      </c>
      <c r="P27" s="10" t="s">
        <v>232</v>
      </c>
      <c r="Q27">
        <v>0.53125</v>
      </c>
      <c r="R27" t="str">
        <f t="shared" si="0"/>
        <v>R750.53125</v>
      </c>
      <c r="S27">
        <v>40</v>
      </c>
      <c r="T27">
        <v>60</v>
      </c>
      <c r="W27" t="s">
        <v>245</v>
      </c>
      <c r="X27" t="s">
        <v>281</v>
      </c>
      <c r="Y27" s="20" t="s">
        <v>267</v>
      </c>
    </row>
    <row r="28" spans="1:25" ht="15.75" x14ac:dyDescent="0.25">
      <c r="F28" s="9" t="s">
        <v>229</v>
      </c>
      <c r="G28" s="3">
        <f>(((E$4*25.4)^2)*(PI()*SQRT(2)/4000)*SQRT(D$4*6.8947572931783))/11.5741</f>
        <v>1.2563610598431867</v>
      </c>
      <c r="H28" s="3">
        <f t="shared" ref="H28" si="7">G28/0.0864</f>
        <v>14.541215970407253</v>
      </c>
      <c r="I28" s="19">
        <f>15*(E4^2)-19.5*E4+(-0.006*(D4^2)+0.39*D4)+14</f>
        <v>11.391031730469013</v>
      </c>
      <c r="K28">
        <v>0</v>
      </c>
      <c r="L28">
        <f>L27</f>
        <v>10</v>
      </c>
      <c r="P28" s="13" t="s">
        <v>232</v>
      </c>
      <c r="Q28">
        <v>0.5625</v>
      </c>
      <c r="R28" t="str">
        <f t="shared" si="0"/>
        <v>R750.5625</v>
      </c>
      <c r="S28">
        <v>40</v>
      </c>
      <c r="T28">
        <v>60</v>
      </c>
      <c r="W28" t="s">
        <v>246</v>
      </c>
      <c r="X28" t="s">
        <v>283</v>
      </c>
      <c r="Y28" s="20" t="s">
        <v>271</v>
      </c>
    </row>
    <row r="29" spans="1:25" ht="15.75" x14ac:dyDescent="0.25">
      <c r="F29" s="9" t="s">
        <v>265</v>
      </c>
      <c r="G29" s="3">
        <f t="shared" si="4"/>
        <v>1.2563610598431867</v>
      </c>
      <c r="H29" s="3">
        <f>G29/0.0864</f>
        <v>14.541215970407253</v>
      </c>
      <c r="I29">
        <f>(-0.013*D4 + 7.7866)*E4 + (0.069896*D4 + 2.9526)</f>
        <v>14.137185508089896</v>
      </c>
      <c r="K29">
        <f>K$4/4</f>
        <v>12.17844983766425</v>
      </c>
      <c r="L29">
        <f>L25</f>
        <v>1</v>
      </c>
      <c r="P29" s="10" t="s">
        <v>233</v>
      </c>
      <c r="Q29">
        <v>0.40625</v>
      </c>
      <c r="R29" t="str">
        <f t="shared" si="0"/>
        <v>R75LP0.40625</v>
      </c>
      <c r="S29">
        <v>25</v>
      </c>
      <c r="T29">
        <v>40</v>
      </c>
      <c r="W29" t="s">
        <v>247</v>
      </c>
      <c r="X29" t="s">
        <v>286</v>
      </c>
      <c r="Y29" s="20" t="s">
        <v>267</v>
      </c>
    </row>
    <row r="30" spans="1:25" x14ac:dyDescent="0.25">
      <c r="P30" s="10" t="s">
        <v>233</v>
      </c>
      <c r="Q30">
        <v>0.4375</v>
      </c>
      <c r="R30" t="str">
        <f t="shared" si="0"/>
        <v>R75LP0.4375</v>
      </c>
      <c r="S30">
        <v>25</v>
      </c>
      <c r="T30">
        <v>40</v>
      </c>
      <c r="W30" t="s">
        <v>319</v>
      </c>
      <c r="X30" t="s">
        <v>320</v>
      </c>
      <c r="Y30" s="20" t="s">
        <v>321</v>
      </c>
    </row>
    <row r="31" spans="1:25" x14ac:dyDescent="0.25">
      <c r="P31" s="10" t="s">
        <v>233</v>
      </c>
      <c r="Q31">
        <v>0.46875</v>
      </c>
      <c r="R31" t="str">
        <f t="shared" si="0"/>
        <v>R75LP0.46875</v>
      </c>
      <c r="S31">
        <v>25</v>
      </c>
      <c r="T31">
        <v>40</v>
      </c>
    </row>
    <row r="32" spans="1:25" x14ac:dyDescent="0.25">
      <c r="A32" s="14"/>
      <c r="D32" s="362" t="s">
        <v>282</v>
      </c>
      <c r="E32" s="362"/>
      <c r="F32" s="362"/>
      <c r="G32" s="362"/>
      <c r="H32" s="362"/>
      <c r="I32" s="362"/>
      <c r="J32" s="3"/>
      <c r="P32" s="10" t="s">
        <v>233</v>
      </c>
      <c r="Q32">
        <v>0.5</v>
      </c>
      <c r="R32" t="str">
        <f t="shared" si="0"/>
        <v>R75LP0.5</v>
      </c>
      <c r="S32">
        <v>25</v>
      </c>
      <c r="T32">
        <v>40</v>
      </c>
    </row>
    <row r="33" spans="1:20" ht="15.75" x14ac:dyDescent="0.25">
      <c r="A33" s="14"/>
      <c r="D33" t="s">
        <v>284</v>
      </c>
      <c r="E33" s="9" t="s">
        <v>225</v>
      </c>
      <c r="F33" s="9" t="s">
        <v>248</v>
      </c>
      <c r="G33" s="9" t="s">
        <v>249</v>
      </c>
      <c r="H33" s="9" t="s">
        <v>249</v>
      </c>
      <c r="I33" s="3" t="s">
        <v>285</v>
      </c>
      <c r="J33" s="3"/>
      <c r="P33" s="10" t="s">
        <v>233</v>
      </c>
      <c r="Q33">
        <v>0.53125</v>
      </c>
      <c r="R33" t="str">
        <f t="shared" si="0"/>
        <v>R75LP0.53125</v>
      </c>
      <c r="S33">
        <v>25</v>
      </c>
      <c r="T33">
        <v>40</v>
      </c>
    </row>
    <row r="34" spans="1:20" ht="15.75" x14ac:dyDescent="0.25">
      <c r="A34" s="14"/>
      <c r="D34" t="s">
        <v>93</v>
      </c>
      <c r="E34" s="9" t="s">
        <v>124</v>
      </c>
      <c r="F34" s="9"/>
      <c r="G34" s="9" t="s">
        <v>111</v>
      </c>
      <c r="H34" s="11" t="s">
        <v>106</v>
      </c>
      <c r="I34" s="3" t="s">
        <v>80</v>
      </c>
      <c r="J34" s="3"/>
      <c r="K34" s="14" t="s">
        <v>287</v>
      </c>
      <c r="M34" s="17"/>
      <c r="P34" s="13" t="s">
        <v>233</v>
      </c>
      <c r="Q34">
        <v>0.5625</v>
      </c>
      <c r="R34" t="str">
        <f t="shared" ref="R34:R65" si="8">P34&amp;Q34</f>
        <v>R75LP0.5625</v>
      </c>
      <c r="S34">
        <v>25</v>
      </c>
      <c r="T34">
        <v>40</v>
      </c>
    </row>
    <row r="35" spans="1:20" x14ac:dyDescent="0.25">
      <c r="D35">
        <f>'STEP 2 Detailed analysis'!AF25/2</f>
        <v>48.75</v>
      </c>
      <c r="E35" s="21">
        <f>'STEP 2 Detailed analysis'!X15</f>
        <v>1</v>
      </c>
      <c r="F35" t="s">
        <v>136</v>
      </c>
      <c r="G35">
        <f>VLOOKUP('STEP 2 Detailed analysis'!$X$14,$F36:$I58,2,FALSE)</f>
        <v>1.257821202663804</v>
      </c>
      <c r="H35">
        <f>VLOOKUP('STEP 2 Detailed analysis'!$X$14,$F36:$I58,3,FALSE)</f>
        <v>14.558115771571805</v>
      </c>
      <c r="I35">
        <f>VLOOKUP('STEP 2 Detailed analysis'!$X$14,$F36:$I58,4,FALSE)</f>
        <v>59.86164889055469</v>
      </c>
      <c r="K35" s="16">
        <f>D35</f>
        <v>48.75</v>
      </c>
      <c r="L35">
        <f>IF(K35=0,0,1)</f>
        <v>1</v>
      </c>
      <c r="M35" t="str">
        <f>ROUND(K35, 1) &amp; " m"</f>
        <v>48.8 m</v>
      </c>
      <c r="P35" s="10" t="s">
        <v>119</v>
      </c>
      <c r="Q35">
        <v>0.5</v>
      </c>
      <c r="R35" t="str">
        <f t="shared" si="8"/>
        <v>SR1000.5</v>
      </c>
      <c r="S35">
        <v>40</v>
      </c>
      <c r="T35">
        <v>110</v>
      </c>
    </row>
    <row r="36" spans="1:20" ht="15.75" x14ac:dyDescent="0.25">
      <c r="D36" t="s">
        <v>93</v>
      </c>
      <c r="F36" t="s">
        <v>253</v>
      </c>
      <c r="G36" s="12">
        <v>0</v>
      </c>
      <c r="H36" s="3">
        <f>G36/0.0864</f>
        <v>0</v>
      </c>
      <c r="I36" s="14">
        <v>0</v>
      </c>
      <c r="J36" s="14"/>
      <c r="K36">
        <f>K35/2</f>
        <v>24.375</v>
      </c>
      <c r="L36">
        <f>IF(K35=0,0,12)</f>
        <v>12</v>
      </c>
      <c r="P36" s="10" t="s">
        <v>119</v>
      </c>
      <c r="Q36">
        <v>0.55000000000000004</v>
      </c>
      <c r="R36" t="str">
        <f t="shared" si="8"/>
        <v>SR1000.55</v>
      </c>
      <c r="S36">
        <v>40</v>
      </c>
      <c r="T36">
        <v>110</v>
      </c>
    </row>
    <row r="37" spans="1:20" x14ac:dyDescent="0.25">
      <c r="F37" t="s">
        <v>235</v>
      </c>
      <c r="G37" s="3">
        <f>(((E$35*25.4)^2)*(PI()*SQRT(2)/4000)*SQRT(I$37*6.8947572931783))/11.5741</f>
        <v>1.2232863521154849</v>
      </c>
      <c r="H37" s="3">
        <f t="shared" ref="H37:H57" si="9">G37/0.0864</f>
        <v>14.158406853188481</v>
      </c>
      <c r="I37" s="18">
        <f>-(1151*E35/50-D35+14.958)/(0.099688+22641*E35/250000)</f>
        <v>56.619641317831089</v>
      </c>
      <c r="K37">
        <v>0</v>
      </c>
      <c r="L37">
        <f>IF(K35=0,0,10)</f>
        <v>10</v>
      </c>
      <c r="P37" s="10" t="s">
        <v>119</v>
      </c>
      <c r="Q37">
        <v>0.6</v>
      </c>
      <c r="R37" t="str">
        <f t="shared" si="8"/>
        <v>SR1000.6</v>
      </c>
      <c r="S37">
        <v>40</v>
      </c>
      <c r="T37">
        <v>110</v>
      </c>
    </row>
    <row r="38" spans="1:20" x14ac:dyDescent="0.25">
      <c r="D38" s="14"/>
      <c r="E38" s="14"/>
      <c r="F38" t="s">
        <v>119</v>
      </c>
      <c r="G38" s="3">
        <f t="shared" ref="G38:G58" si="10">(((E$35*25.4)^2)*(PI()*SQRT(2)/4000)*SQRT(I38*6.8947572931783))/11.5741</f>
        <v>1.257821202663804</v>
      </c>
      <c r="H38" s="3">
        <f t="shared" si="9"/>
        <v>14.558115771571805</v>
      </c>
      <c r="I38" s="15">
        <f>(SQRT(-E35*D35/100+34448801*E35^2/100000000+D35/250+4060599*E35/50000000-0.06538399)-4849*E35/10000+0.0449)/(-E35/200+0.002)</f>
        <v>59.86164889055469</v>
      </c>
      <c r="K38">
        <f>K$35/1.25</f>
        <v>39</v>
      </c>
      <c r="L38">
        <f>L35</f>
        <v>1</v>
      </c>
      <c r="P38" s="10" t="s">
        <v>119</v>
      </c>
      <c r="Q38">
        <v>0.65</v>
      </c>
      <c r="R38" t="str">
        <f t="shared" si="8"/>
        <v>SR1000.65</v>
      </c>
      <c r="S38">
        <v>40</v>
      </c>
      <c r="T38">
        <v>110</v>
      </c>
    </row>
    <row r="39" spans="1:20" x14ac:dyDescent="0.25">
      <c r="D39" s="14"/>
      <c r="E39" s="14"/>
      <c r="F39" t="s">
        <v>236</v>
      </c>
      <c r="G39" s="3">
        <f t="shared" si="10"/>
        <v>1.3642869258577284</v>
      </c>
      <c r="H39" s="3">
        <f t="shared" si="9"/>
        <v>15.790357938168151</v>
      </c>
      <c r="I39">
        <f>-(SQRT(-E35*D35/125+1028313*E35^2/3125000+326357*E35/1562500-3*D35/1250+0.0351172)-643*E35/1250-0.1088)/(E35/250+0.0012)</f>
        <v>70.424259217972576</v>
      </c>
      <c r="K39">
        <f>K38/2</f>
        <v>19.5</v>
      </c>
      <c r="L39">
        <f>L36-0.2</f>
        <v>11.8</v>
      </c>
      <c r="P39" s="10" t="s">
        <v>119</v>
      </c>
      <c r="Q39">
        <v>0.7</v>
      </c>
      <c r="R39" t="str">
        <f t="shared" si="8"/>
        <v>SR1000.7</v>
      </c>
      <c r="S39">
        <v>40</v>
      </c>
      <c r="T39">
        <v>110</v>
      </c>
    </row>
    <row r="40" spans="1:20" x14ac:dyDescent="0.25">
      <c r="D40" s="14"/>
      <c r="E40" s="14"/>
      <c r="F40" t="s">
        <v>255</v>
      </c>
      <c r="G40" s="3" t="e">
        <f t="shared" si="10"/>
        <v>#NUM!</v>
      </c>
      <c r="H40" s="3" t="e">
        <f t="shared" si="9"/>
        <v>#NUM!</v>
      </c>
      <c r="I40" t="e">
        <f>-(5000*(SQRT(-13*E35*D35/2500+646217*E35^2/5000000+213733*E35/2500000+0.01263376)-247*E35/1000-0.1124))/(13*E35)</f>
        <v>#NUM!</v>
      </c>
      <c r="K40">
        <v>0</v>
      </c>
      <c r="L40">
        <f>L37</f>
        <v>10</v>
      </c>
      <c r="P40" s="10" t="s">
        <v>119</v>
      </c>
      <c r="Q40">
        <v>0.75</v>
      </c>
      <c r="R40" t="str">
        <f t="shared" si="8"/>
        <v>SR1000.75</v>
      </c>
      <c r="S40">
        <v>40</v>
      </c>
      <c r="T40">
        <v>110</v>
      </c>
    </row>
    <row r="41" spans="1:20" x14ac:dyDescent="0.25">
      <c r="F41" t="s">
        <v>244</v>
      </c>
      <c r="G41" s="3">
        <f t="shared" si="10"/>
        <v>1.2803025667232326</v>
      </c>
      <c r="H41" s="3">
        <f t="shared" si="9"/>
        <v>14.818316744481859</v>
      </c>
      <c r="I41">
        <f>(SQRT(89*E35*D35/625 - 27364651*E35^2/6250000 + 1299279*E35/6250000 - 77*D35/1250 + 0.75409156) + 8543*E35/2500 - 1.6345)/(89*E35/1250-0.0308)</f>
        <v>62.020617399712272</v>
      </c>
      <c r="K41">
        <f>K$35/1.75</f>
        <v>27.857142857142858</v>
      </c>
      <c r="L41">
        <f>L38</f>
        <v>1</v>
      </c>
      <c r="P41" s="10" t="s">
        <v>119</v>
      </c>
      <c r="Q41">
        <v>0.8</v>
      </c>
      <c r="R41" t="str">
        <f t="shared" si="8"/>
        <v>SR1000.8</v>
      </c>
      <c r="S41">
        <v>40</v>
      </c>
      <c r="T41">
        <v>110</v>
      </c>
    </row>
    <row r="42" spans="1:20" x14ac:dyDescent="0.25">
      <c r="F42" t="s">
        <v>246</v>
      </c>
      <c r="G42" s="3" t="e">
        <f t="shared" si="10"/>
        <v>#VALUE!</v>
      </c>
      <c r="H42" s="3" t="e">
        <f t="shared" si="9"/>
        <v>#VALUE!</v>
      </c>
      <c r="I42" t="s">
        <v>288</v>
      </c>
      <c r="K42">
        <f>K41/2</f>
        <v>13.928571428571429</v>
      </c>
      <c r="L42">
        <f>L39-0.2</f>
        <v>11.600000000000001</v>
      </c>
      <c r="P42" s="10" t="s">
        <v>119</v>
      </c>
      <c r="Q42">
        <v>0.85</v>
      </c>
      <c r="R42" t="str">
        <f t="shared" si="8"/>
        <v>SR1000.85</v>
      </c>
      <c r="S42">
        <v>40</v>
      </c>
      <c r="T42">
        <v>110</v>
      </c>
    </row>
    <row r="43" spans="1:20" x14ac:dyDescent="0.25">
      <c r="F43" t="s">
        <v>232</v>
      </c>
      <c r="G43" s="3" t="e">
        <f t="shared" si="10"/>
        <v>#NUM!</v>
      </c>
      <c r="H43" s="3" t="e">
        <f t="shared" si="9"/>
        <v>#NUM!</v>
      </c>
      <c r="I43" t="e">
        <f>(SQRT(-1042909*E35^4/15625 - 133*D35*E35^2/250 + 3483371*E35^3/25000 + 661*E35*D35/1250 - 3081241*E35^2/31250 - 83*D35/625 + 68858401*E35/2500000 - 2.33528815) - 1386*E35^2/125 + 5539*E35/500 - 2.8615)/(-133*E35^2/500 + 661*E35/2500 - 0.0664)</f>
        <v>#NUM!</v>
      </c>
      <c r="J43" s="20"/>
      <c r="K43">
        <v>0</v>
      </c>
      <c r="L43">
        <f>L40</f>
        <v>10</v>
      </c>
      <c r="P43" s="10" t="s">
        <v>119</v>
      </c>
      <c r="Q43">
        <v>0.9</v>
      </c>
      <c r="R43" t="str">
        <f t="shared" si="8"/>
        <v>SR1000.9</v>
      </c>
      <c r="S43">
        <v>40</v>
      </c>
      <c r="T43">
        <v>110</v>
      </c>
    </row>
    <row r="44" spans="1:20" x14ac:dyDescent="0.25">
      <c r="F44" t="s">
        <v>233</v>
      </c>
      <c r="G44" s="3">
        <f t="shared" si="10"/>
        <v>2.5905541080094707</v>
      </c>
      <c r="H44" s="3">
        <f t="shared" si="9"/>
        <v>29.983265138998501</v>
      </c>
      <c r="I44">
        <f>(SQRT(144*E35^3/125 + 3*E35*D35/100 - 26073299631*E35^2/10000000000 + 859313321*E35/625000000 - 7147*D35/250000 + 0.0673261044) + 53463*E35/100000 - 0.59144)/(3*E35/200 - 0.014294)</f>
        <v>253.91957836195857</v>
      </c>
      <c r="J44" s="20"/>
      <c r="K44">
        <f>K$35/2.5</f>
        <v>19.5</v>
      </c>
      <c r="L44">
        <f>L41</f>
        <v>1</v>
      </c>
      <c r="P44" s="13" t="s">
        <v>119</v>
      </c>
      <c r="Q44">
        <v>1</v>
      </c>
      <c r="R44" t="str">
        <f t="shared" si="8"/>
        <v>SR1001</v>
      </c>
      <c r="S44">
        <v>40</v>
      </c>
      <c r="T44">
        <v>110</v>
      </c>
    </row>
    <row r="45" spans="1:20" x14ac:dyDescent="0.25">
      <c r="F45" t="s">
        <v>231</v>
      </c>
      <c r="G45" s="3">
        <f t="shared" si="10"/>
        <v>1453242.784287255</v>
      </c>
      <c r="H45" s="3">
        <f t="shared" si="9"/>
        <v>16819939.63295434</v>
      </c>
      <c r="I45">
        <f>(-3.1972406202*E35^2 + 4.4602508293*E35 - 1.2619790119)*EXP((3.7002743908*E35^2 - 4.6891621127*E35 + 1.7866092577)*D35)</f>
        <v>79907437431943.188</v>
      </c>
      <c r="K45">
        <f>K44/2</f>
        <v>9.75</v>
      </c>
      <c r="L45">
        <f>L42-0.2</f>
        <v>11.400000000000002</v>
      </c>
      <c r="P45" s="10" t="s">
        <v>234</v>
      </c>
      <c r="Q45">
        <v>0.47</v>
      </c>
      <c r="R45" t="str">
        <f t="shared" si="8"/>
        <v>SR101+0.47</v>
      </c>
      <c r="S45">
        <v>30</v>
      </c>
      <c r="T45">
        <v>110</v>
      </c>
    </row>
    <row r="46" spans="1:20" x14ac:dyDescent="0.25">
      <c r="F46" t="s">
        <v>230</v>
      </c>
      <c r="G46" s="3" t="e">
        <f t="shared" si="10"/>
        <v>#NUM!</v>
      </c>
      <c r="H46" s="3" t="e">
        <f t="shared" si="9"/>
        <v>#NUM!</v>
      </c>
      <c r="I46" t="e">
        <f>-(SQRT(-14029*E35*D35/2500000 - 164979107*E35^2/12500000000 + 123118523*E35/1562500000 - 2683*D35/625000 + 0.0680825472) - 7851*E35/50000 - 0.12912)/(14029*E35/5000000 + 0.0021464)</f>
        <v>#NUM!</v>
      </c>
      <c r="J46" s="20"/>
      <c r="K46">
        <v>0</v>
      </c>
      <c r="L46">
        <f>L43</f>
        <v>10</v>
      </c>
      <c r="P46" s="10" t="s">
        <v>234</v>
      </c>
      <c r="Q46">
        <v>0.55000000000000004</v>
      </c>
      <c r="R46" t="str">
        <f t="shared" si="8"/>
        <v>SR101+0.55</v>
      </c>
      <c r="S46">
        <v>30</v>
      </c>
      <c r="T46">
        <v>110</v>
      </c>
    </row>
    <row r="47" spans="1:20" x14ac:dyDescent="0.25">
      <c r="F47" t="s">
        <v>265</v>
      </c>
      <c r="G47" s="3">
        <f t="shared" si="10"/>
        <v>4.2020112532809994</v>
      </c>
      <c r="H47" s="3">
        <f t="shared" si="9"/>
        <v>48.634389505567121</v>
      </c>
      <c r="I47">
        <f>-(38933*E35/5000 - D35 + 2.9526)/(-13*E35/1000 + 0.069896)</f>
        <v>668.07508436445448</v>
      </c>
      <c r="J47" s="20"/>
      <c r="K47">
        <f>K$35/4</f>
        <v>12.1875</v>
      </c>
      <c r="L47">
        <f>L44</f>
        <v>1</v>
      </c>
      <c r="P47" s="10" t="s">
        <v>234</v>
      </c>
      <c r="Q47">
        <v>0.63</v>
      </c>
      <c r="R47" t="str">
        <f t="shared" si="8"/>
        <v>SR101+0.63</v>
      </c>
      <c r="S47">
        <v>30</v>
      </c>
      <c r="T47">
        <v>110</v>
      </c>
    </row>
    <row r="48" spans="1:20" x14ac:dyDescent="0.25">
      <c r="F48" t="s">
        <v>234</v>
      </c>
      <c r="G48" s="3">
        <f t="shared" si="10"/>
        <v>1.2286750658686307</v>
      </c>
      <c r="H48" s="3">
        <f t="shared" si="9"/>
        <v>14.220776225331374</v>
      </c>
      <c r="I48">
        <f>-(12859*E35/500 - D35 + 8.8395)/(5679*E35/50000 + 0.13489)</f>
        <v>57.119571779289245</v>
      </c>
      <c r="J48" s="20"/>
      <c r="K48">
        <f>K47/2</f>
        <v>6.09375</v>
      </c>
      <c r="L48">
        <f>L45-0.2</f>
        <v>11.200000000000003</v>
      </c>
      <c r="P48" s="10" t="s">
        <v>234</v>
      </c>
      <c r="Q48">
        <v>0.67</v>
      </c>
      <c r="R48" t="str">
        <f t="shared" si="8"/>
        <v>SR101+0.67</v>
      </c>
      <c r="S48">
        <v>30</v>
      </c>
      <c r="T48">
        <v>110</v>
      </c>
    </row>
    <row r="49" spans="6:20" x14ac:dyDescent="0.25">
      <c r="F49" t="s">
        <v>229</v>
      </c>
      <c r="G49" s="3" t="e">
        <f t="shared" si="10"/>
        <v>#NUM!</v>
      </c>
      <c r="H49" s="3" t="e">
        <f t="shared" si="9"/>
        <v>#NUM!</v>
      </c>
      <c r="I49" t="e">
        <f>-250*SQRT(((9*(E35^2))/25)-(3*D35/125)-(117*E35/250)+0.4881)/3+32.5</f>
        <v>#NUM!</v>
      </c>
      <c r="K49">
        <v>0</v>
      </c>
      <c r="L49">
        <f>L46</f>
        <v>10</v>
      </c>
      <c r="P49" s="10" t="s">
        <v>234</v>
      </c>
      <c r="Q49">
        <v>0.71</v>
      </c>
      <c r="R49" t="str">
        <f t="shared" si="8"/>
        <v>SR101+0.71</v>
      </c>
      <c r="S49">
        <v>30</v>
      </c>
      <c r="T49">
        <v>110</v>
      </c>
    </row>
    <row r="50" spans="6:20" x14ac:dyDescent="0.25">
      <c r="F50" t="s">
        <v>237</v>
      </c>
      <c r="G50" s="3">
        <f t="shared" si="10"/>
        <v>1.4485207236211435</v>
      </c>
      <c r="H50" s="3">
        <f t="shared" si="9"/>
        <v>16.765286153022494</v>
      </c>
      <c r="I50">
        <f>(-(8/55)*E35^2 + (14/575)*E35 + 144/631)*D35^2 + (-(108+125/254)*E35^3 + (290+32/49)*E35^2 - (245+307/462)*E35 + 57+145/474)*D35 + ((2306+337/412)*E35^3 - (6333+107/785)*E35^2 + (5628+495/658)*E35 - 1476+201/362)</f>
        <v>79.388990355247103</v>
      </c>
      <c r="K50">
        <f>K$35/6</f>
        <v>8.125</v>
      </c>
      <c r="L50">
        <f>L47</f>
        <v>1</v>
      </c>
      <c r="P50" s="10" t="s">
        <v>234</v>
      </c>
      <c r="Q50">
        <v>0.75</v>
      </c>
      <c r="R50" t="str">
        <f t="shared" si="8"/>
        <v>SR101+0.75</v>
      </c>
      <c r="S50">
        <v>30</v>
      </c>
      <c r="T50">
        <v>110</v>
      </c>
    </row>
    <row r="51" spans="6:20" x14ac:dyDescent="0.25">
      <c r="F51" t="s">
        <v>238</v>
      </c>
      <c r="G51" s="3">
        <f t="shared" si="10"/>
        <v>1.2451424577572805</v>
      </c>
      <c r="H51" s="3">
        <f t="shared" si="9"/>
        <v>14.411371038857412</v>
      </c>
      <c r="I51">
        <f>-(12643*E35/500 - D35 + 9.1776)/(22333*E35/250000 + 0.15421)</f>
        <v>58.660929121055091</v>
      </c>
      <c r="J51" s="20"/>
      <c r="K51">
        <f>K50/2</f>
        <v>4.0625</v>
      </c>
      <c r="L51">
        <f>L48-0.2</f>
        <v>11.000000000000004</v>
      </c>
      <c r="P51" s="10" t="s">
        <v>234</v>
      </c>
      <c r="Q51">
        <v>0.79</v>
      </c>
      <c r="R51" t="str">
        <f t="shared" si="8"/>
        <v>SR101+0.79</v>
      </c>
      <c r="S51">
        <v>30</v>
      </c>
      <c r="T51">
        <v>110</v>
      </c>
    </row>
    <row r="52" spans="6:20" x14ac:dyDescent="0.25">
      <c r="F52" t="s">
        <v>239</v>
      </c>
      <c r="G52" s="3" t="e">
        <f t="shared" si="10"/>
        <v>#VALUE!</v>
      </c>
      <c r="H52" s="3" t="e">
        <f t="shared" si="9"/>
        <v>#VALUE!</v>
      </c>
      <c r="I52" t="s">
        <v>288</v>
      </c>
      <c r="K52">
        <v>0</v>
      </c>
      <c r="L52">
        <f>L49</f>
        <v>10</v>
      </c>
      <c r="P52" s="10" t="s">
        <v>234</v>
      </c>
      <c r="Q52">
        <v>0.83</v>
      </c>
      <c r="R52" t="str">
        <f t="shared" si="8"/>
        <v>SR101+0.83</v>
      </c>
      <c r="S52">
        <v>30</v>
      </c>
      <c r="T52">
        <v>110</v>
      </c>
    </row>
    <row r="53" spans="6:20" x14ac:dyDescent="0.25">
      <c r="F53" t="s">
        <v>240</v>
      </c>
      <c r="G53" s="3" t="e">
        <f t="shared" si="10"/>
        <v>#VALUE!</v>
      </c>
      <c r="H53" s="3" t="e">
        <f t="shared" si="9"/>
        <v>#VALUE!</v>
      </c>
      <c r="I53" t="s">
        <v>288</v>
      </c>
      <c r="P53" s="10" t="s">
        <v>234</v>
      </c>
      <c r="Q53">
        <v>0.87</v>
      </c>
      <c r="R53" t="str">
        <f t="shared" si="8"/>
        <v>SR101+0.87</v>
      </c>
      <c r="S53">
        <v>30</v>
      </c>
      <c r="T53">
        <v>110</v>
      </c>
    </row>
    <row r="54" spans="6:20" x14ac:dyDescent="0.25">
      <c r="F54" t="s">
        <v>241</v>
      </c>
      <c r="G54" s="3" t="e">
        <f t="shared" si="10"/>
        <v>#VALUE!</v>
      </c>
      <c r="H54" s="3" t="e">
        <f t="shared" si="9"/>
        <v>#VALUE!</v>
      </c>
      <c r="I54" t="s">
        <v>288</v>
      </c>
      <c r="P54" s="10" t="s">
        <v>234</v>
      </c>
      <c r="Q54">
        <v>0.91</v>
      </c>
      <c r="R54" t="str">
        <f t="shared" si="8"/>
        <v>SR101+0.91</v>
      </c>
      <c r="S54">
        <v>30</v>
      </c>
      <c r="T54">
        <v>110</v>
      </c>
    </row>
    <row r="55" spans="6:20" x14ac:dyDescent="0.25">
      <c r="F55" t="s">
        <v>242</v>
      </c>
      <c r="G55" s="3" t="e">
        <f t="shared" si="10"/>
        <v>#VALUE!</v>
      </c>
      <c r="H55" s="3" t="e">
        <f t="shared" si="9"/>
        <v>#VALUE!</v>
      </c>
      <c r="I55" t="s">
        <v>288</v>
      </c>
      <c r="P55" s="13" t="s">
        <v>234</v>
      </c>
      <c r="Q55">
        <v>0.94</v>
      </c>
      <c r="R55" t="str">
        <f t="shared" si="8"/>
        <v>SR101+0.94</v>
      </c>
      <c r="S55">
        <v>30</v>
      </c>
      <c r="T55">
        <v>110</v>
      </c>
    </row>
    <row r="56" spans="6:20" x14ac:dyDescent="0.25">
      <c r="F56" t="s">
        <v>245</v>
      </c>
      <c r="G56" s="3">
        <f t="shared" si="10"/>
        <v>1.2271606009771008</v>
      </c>
      <c r="H56" s="3">
        <f t="shared" si="9"/>
        <v>14.203247696494222</v>
      </c>
      <c r="I56">
        <f>(SQRT(7199*E35*D35/50000 - 3623457*E35^2/781250 + 568687*E35/3125000 - 7777*D35/125000 + 0.813691392) + 2097*E35/625 - 1.612)/(7199*E35/100000 - 0.031108)</f>
        <v>56.978847392366085</v>
      </c>
      <c r="J56" s="20" t="s">
        <v>289</v>
      </c>
      <c r="P56" s="10" t="s">
        <v>235</v>
      </c>
      <c r="Q56">
        <v>0.7</v>
      </c>
      <c r="R56" t="str">
        <f t="shared" si="8"/>
        <v>SR1500.7</v>
      </c>
      <c r="S56">
        <v>50</v>
      </c>
      <c r="T56">
        <v>120</v>
      </c>
    </row>
    <row r="57" spans="6:20" x14ac:dyDescent="0.25">
      <c r="F57" t="s">
        <v>247</v>
      </c>
      <c r="G57" s="3">
        <f t="shared" si="10"/>
        <v>1.2883286773024929</v>
      </c>
      <c r="H57" s="3">
        <f t="shared" si="9"/>
        <v>14.911211542852927</v>
      </c>
      <c r="I57">
        <f>-(28.303*E35 - D35 + 5.5802)/(0.10109*E35 + 0.13564)</f>
        <v>62.800658978583193</v>
      </c>
      <c r="J57" s="20" t="s">
        <v>289</v>
      </c>
      <c r="P57" s="10" t="s">
        <v>235</v>
      </c>
      <c r="Q57">
        <v>0.8</v>
      </c>
      <c r="R57" t="str">
        <f t="shared" si="8"/>
        <v>SR1500.8</v>
      </c>
      <c r="S57">
        <v>50</v>
      </c>
      <c r="T57">
        <v>120</v>
      </c>
    </row>
    <row r="58" spans="6:20" x14ac:dyDescent="0.25">
      <c r="F58" t="s">
        <v>319</v>
      </c>
      <c r="G58" s="3">
        <f t="shared" si="10"/>
        <v>1.1722285385826479</v>
      </c>
      <c r="H58" s="3">
        <f t="shared" ref="H58" si="11">G58/0.0864</f>
        <v>13.567459937299164</v>
      </c>
      <c r="I58">
        <f>(-2500000*SQRT(32410249*(E35^2)/2500000000 + 78439639*E35/312500000 - 9723*D35/1250000 + 0.23397054376) + 284650*E35 + 1082350)/9723</f>
        <v>51.991869461219906</v>
      </c>
      <c r="P58" s="10" t="s">
        <v>235</v>
      </c>
      <c r="Q58">
        <v>0.9</v>
      </c>
      <c r="R58" t="str">
        <f t="shared" si="8"/>
        <v>SR1500.9</v>
      </c>
      <c r="S58">
        <v>50</v>
      </c>
      <c r="T58">
        <v>120</v>
      </c>
    </row>
    <row r="59" spans="6:20" x14ac:dyDescent="0.25">
      <c r="P59" s="10" t="s">
        <v>235</v>
      </c>
      <c r="Q59">
        <v>1</v>
      </c>
      <c r="R59" t="str">
        <f t="shared" si="8"/>
        <v>SR1501</v>
      </c>
      <c r="S59">
        <v>50</v>
      </c>
      <c r="T59">
        <v>120</v>
      </c>
    </row>
    <row r="60" spans="6:20" x14ac:dyDescent="0.25">
      <c r="P60" s="10" t="s">
        <v>235</v>
      </c>
      <c r="Q60">
        <v>1.1000000000000001</v>
      </c>
      <c r="R60" t="str">
        <f t="shared" si="8"/>
        <v>SR1501.1</v>
      </c>
      <c r="S60">
        <v>50</v>
      </c>
      <c r="T60">
        <v>120</v>
      </c>
    </row>
    <row r="61" spans="6:20" x14ac:dyDescent="0.25">
      <c r="P61" s="10" t="s">
        <v>235</v>
      </c>
      <c r="Q61">
        <v>1.2</v>
      </c>
      <c r="R61" t="str">
        <f t="shared" si="8"/>
        <v>SR1501.2</v>
      </c>
      <c r="S61">
        <v>50</v>
      </c>
      <c r="T61">
        <v>120</v>
      </c>
    </row>
    <row r="62" spans="6:20" x14ac:dyDescent="0.25">
      <c r="P62" s="10" t="s">
        <v>235</v>
      </c>
      <c r="Q62">
        <v>1.3</v>
      </c>
      <c r="R62" t="str">
        <f t="shared" si="8"/>
        <v>SR1501.3</v>
      </c>
      <c r="S62">
        <v>50</v>
      </c>
      <c r="T62">
        <v>120</v>
      </c>
    </row>
    <row r="63" spans="6:20" x14ac:dyDescent="0.25">
      <c r="P63" s="13" t="s">
        <v>235</v>
      </c>
      <c r="Q63">
        <v>1.4</v>
      </c>
      <c r="R63" t="str">
        <f t="shared" si="8"/>
        <v>SR1501.4</v>
      </c>
      <c r="S63">
        <v>50</v>
      </c>
      <c r="T63">
        <v>120</v>
      </c>
    </row>
    <row r="64" spans="6:20" x14ac:dyDescent="0.25">
      <c r="P64" s="10" t="s">
        <v>236</v>
      </c>
      <c r="Q64">
        <v>0.4</v>
      </c>
      <c r="R64" t="str">
        <f t="shared" si="8"/>
        <v>SR750.4</v>
      </c>
      <c r="S64">
        <v>40</v>
      </c>
      <c r="T64">
        <v>80</v>
      </c>
    </row>
    <row r="65" spans="16:20" x14ac:dyDescent="0.25">
      <c r="P65" s="10" t="s">
        <v>236</v>
      </c>
      <c r="Q65">
        <v>0.45</v>
      </c>
      <c r="R65" t="str">
        <f t="shared" si="8"/>
        <v>SR750.45</v>
      </c>
      <c r="S65">
        <v>35</v>
      </c>
      <c r="T65">
        <v>80</v>
      </c>
    </row>
    <row r="66" spans="16:20" x14ac:dyDescent="0.25">
      <c r="P66" s="10" t="s">
        <v>236</v>
      </c>
      <c r="Q66">
        <v>0.5</v>
      </c>
      <c r="R66" t="str">
        <f t="shared" ref="R66:R97" si="12">P66&amp;Q66</f>
        <v>SR750.5</v>
      </c>
      <c r="S66">
        <v>30</v>
      </c>
      <c r="T66">
        <v>80</v>
      </c>
    </row>
    <row r="67" spans="16:20" x14ac:dyDescent="0.25">
      <c r="P67" s="10" t="s">
        <v>236</v>
      </c>
      <c r="Q67">
        <v>0.55000000000000004</v>
      </c>
      <c r="R67" t="str">
        <f t="shared" si="12"/>
        <v>SR750.55</v>
      </c>
      <c r="S67">
        <v>25</v>
      </c>
      <c r="T67">
        <v>80</v>
      </c>
    </row>
    <row r="68" spans="16:20" x14ac:dyDescent="0.25">
      <c r="P68" s="10" t="s">
        <v>236</v>
      </c>
      <c r="Q68">
        <v>0.6</v>
      </c>
      <c r="R68" t="str">
        <f t="shared" si="12"/>
        <v>SR750.6</v>
      </c>
      <c r="S68">
        <v>25</v>
      </c>
      <c r="T68">
        <v>80</v>
      </c>
    </row>
    <row r="69" spans="16:20" x14ac:dyDescent="0.25">
      <c r="P69" s="10" t="s">
        <v>236</v>
      </c>
      <c r="Q69">
        <v>0.65</v>
      </c>
      <c r="R69" t="str">
        <f t="shared" si="12"/>
        <v>SR750.65</v>
      </c>
      <c r="S69">
        <v>25</v>
      </c>
      <c r="T69">
        <v>80</v>
      </c>
    </row>
    <row r="70" spans="16:20" x14ac:dyDescent="0.25">
      <c r="P70" s="10" t="s">
        <v>236</v>
      </c>
      <c r="Q70">
        <v>0.7</v>
      </c>
      <c r="R70" t="str">
        <f t="shared" si="12"/>
        <v>SR750.7</v>
      </c>
      <c r="S70">
        <v>25</v>
      </c>
      <c r="T70">
        <v>80</v>
      </c>
    </row>
    <row r="71" spans="16:20" x14ac:dyDescent="0.25">
      <c r="P71" s="10" t="s">
        <v>236</v>
      </c>
      <c r="Q71">
        <v>0.75</v>
      </c>
      <c r="R71" t="str">
        <f t="shared" si="12"/>
        <v>SR750.75</v>
      </c>
      <c r="S71">
        <v>25</v>
      </c>
      <c r="T71">
        <v>80</v>
      </c>
    </row>
    <row r="72" spans="16:20" x14ac:dyDescent="0.25">
      <c r="P72" s="13" t="s">
        <v>236</v>
      </c>
      <c r="Q72">
        <v>0.8</v>
      </c>
      <c r="R72" t="str">
        <f t="shared" si="12"/>
        <v>SR750.8</v>
      </c>
      <c r="S72">
        <v>25</v>
      </c>
      <c r="T72">
        <v>80</v>
      </c>
    </row>
    <row r="73" spans="16:20" x14ac:dyDescent="0.25">
      <c r="P73" s="10" t="s">
        <v>237</v>
      </c>
      <c r="Q73">
        <v>0.47</v>
      </c>
      <c r="R73" t="str">
        <f t="shared" si="12"/>
        <v>Twin101Ultra0.47</v>
      </c>
      <c r="S73">
        <v>30</v>
      </c>
      <c r="T73">
        <v>110</v>
      </c>
    </row>
    <row r="74" spans="16:20" x14ac:dyDescent="0.25">
      <c r="P74" s="10" t="s">
        <v>237</v>
      </c>
      <c r="Q74">
        <v>0.55000000000000004</v>
      </c>
      <c r="R74" t="str">
        <f t="shared" si="12"/>
        <v>Twin101Ultra0.55</v>
      </c>
      <c r="S74">
        <v>30</v>
      </c>
      <c r="T74">
        <v>110</v>
      </c>
    </row>
    <row r="75" spans="16:20" x14ac:dyDescent="0.25">
      <c r="P75" s="10" t="s">
        <v>237</v>
      </c>
      <c r="Q75">
        <v>0.63</v>
      </c>
      <c r="R75" t="str">
        <f t="shared" si="12"/>
        <v>Twin101Ultra0.63</v>
      </c>
      <c r="S75">
        <v>30</v>
      </c>
      <c r="T75">
        <v>110</v>
      </c>
    </row>
    <row r="76" spans="16:20" x14ac:dyDescent="0.25">
      <c r="P76" s="10" t="s">
        <v>237</v>
      </c>
      <c r="Q76">
        <v>0.71</v>
      </c>
      <c r="R76" t="str">
        <f t="shared" si="12"/>
        <v>Twin101Ultra0.71</v>
      </c>
      <c r="S76">
        <v>30</v>
      </c>
      <c r="T76">
        <v>110</v>
      </c>
    </row>
    <row r="77" spans="16:20" x14ac:dyDescent="0.25">
      <c r="P77" s="10" t="s">
        <v>237</v>
      </c>
      <c r="Q77">
        <v>0.79</v>
      </c>
      <c r="R77" t="str">
        <f t="shared" si="12"/>
        <v>Twin101Ultra0.79</v>
      </c>
      <c r="S77">
        <v>30</v>
      </c>
      <c r="T77">
        <v>110</v>
      </c>
    </row>
    <row r="78" spans="16:20" x14ac:dyDescent="0.25">
      <c r="P78" s="10" t="s">
        <v>237</v>
      </c>
      <c r="Q78">
        <v>0.87</v>
      </c>
      <c r="R78" t="str">
        <f t="shared" si="12"/>
        <v>Twin101Ultra0.87</v>
      </c>
      <c r="S78">
        <v>30</v>
      </c>
      <c r="T78">
        <v>110</v>
      </c>
    </row>
    <row r="79" spans="16:20" x14ac:dyDescent="0.25">
      <c r="P79" s="10" t="s">
        <v>237</v>
      </c>
      <c r="Q79">
        <v>0.94</v>
      </c>
      <c r="R79" t="str">
        <f t="shared" si="12"/>
        <v>Twin101Ultra0.94</v>
      </c>
      <c r="S79">
        <v>30</v>
      </c>
      <c r="T79">
        <v>110</v>
      </c>
    </row>
    <row r="80" spans="16:20" x14ac:dyDescent="0.25">
      <c r="P80" s="10" t="s">
        <v>237</v>
      </c>
      <c r="Q80">
        <v>1.02</v>
      </c>
      <c r="R80" t="str">
        <f t="shared" si="12"/>
        <v>Twin101Ultra1.02</v>
      </c>
      <c r="S80">
        <v>30</v>
      </c>
      <c r="T80">
        <v>110</v>
      </c>
    </row>
    <row r="81" spans="16:20" x14ac:dyDescent="0.25">
      <c r="P81" s="13" t="s">
        <v>237</v>
      </c>
      <c r="Q81">
        <v>1.1000000000000001</v>
      </c>
      <c r="R81" t="str">
        <f t="shared" si="12"/>
        <v>Twin101Ultra1.1</v>
      </c>
      <c r="S81">
        <v>30</v>
      </c>
      <c r="T81">
        <v>110</v>
      </c>
    </row>
    <row r="82" spans="16:20" x14ac:dyDescent="0.25">
      <c r="P82" s="10" t="s">
        <v>238</v>
      </c>
      <c r="Q82">
        <v>0.63</v>
      </c>
      <c r="R82" t="str">
        <f t="shared" si="12"/>
        <v>Twin140+0.63</v>
      </c>
      <c r="S82">
        <v>30</v>
      </c>
      <c r="T82">
        <v>110</v>
      </c>
    </row>
    <row r="83" spans="16:20" x14ac:dyDescent="0.25">
      <c r="P83" s="10" t="s">
        <v>238</v>
      </c>
      <c r="Q83">
        <v>0.67</v>
      </c>
      <c r="R83" t="str">
        <f t="shared" si="12"/>
        <v>Twin140+0.67</v>
      </c>
      <c r="S83">
        <v>30</v>
      </c>
      <c r="T83">
        <v>110</v>
      </c>
    </row>
    <row r="84" spans="16:20" x14ac:dyDescent="0.25">
      <c r="P84" s="10" t="s">
        <v>238</v>
      </c>
      <c r="Q84">
        <v>0.71</v>
      </c>
      <c r="R84" t="str">
        <f t="shared" si="12"/>
        <v>Twin140+0.71</v>
      </c>
      <c r="S84">
        <v>30</v>
      </c>
      <c r="T84">
        <v>110</v>
      </c>
    </row>
    <row r="85" spans="16:20" x14ac:dyDescent="0.25">
      <c r="P85" s="10" t="s">
        <v>238</v>
      </c>
      <c r="Q85">
        <v>0.75</v>
      </c>
      <c r="R85" t="str">
        <f t="shared" si="12"/>
        <v>Twin140+0.75</v>
      </c>
      <c r="S85">
        <v>30</v>
      </c>
      <c r="T85">
        <v>110</v>
      </c>
    </row>
    <row r="86" spans="16:20" x14ac:dyDescent="0.25">
      <c r="P86" s="10" t="s">
        <v>238</v>
      </c>
      <c r="Q86">
        <v>0.79</v>
      </c>
      <c r="R86" t="str">
        <f t="shared" si="12"/>
        <v>Twin140+0.79</v>
      </c>
      <c r="S86">
        <v>30</v>
      </c>
      <c r="T86">
        <v>110</v>
      </c>
    </row>
    <row r="87" spans="16:20" x14ac:dyDescent="0.25">
      <c r="P87" s="10" t="s">
        <v>238</v>
      </c>
      <c r="Q87">
        <v>0.83</v>
      </c>
      <c r="R87" t="str">
        <f t="shared" si="12"/>
        <v>Twin140+0.83</v>
      </c>
      <c r="S87">
        <v>30</v>
      </c>
      <c r="T87">
        <v>110</v>
      </c>
    </row>
    <row r="88" spans="16:20" x14ac:dyDescent="0.25">
      <c r="P88" s="10" t="s">
        <v>238</v>
      </c>
      <c r="Q88">
        <v>0.87</v>
      </c>
      <c r="R88" t="str">
        <f t="shared" si="12"/>
        <v>Twin140+0.87</v>
      </c>
      <c r="S88">
        <v>30</v>
      </c>
      <c r="T88">
        <v>110</v>
      </c>
    </row>
    <row r="89" spans="16:20" x14ac:dyDescent="0.25">
      <c r="P89" s="10" t="s">
        <v>238</v>
      </c>
      <c r="Q89">
        <v>0.91</v>
      </c>
      <c r="R89" t="str">
        <f t="shared" si="12"/>
        <v>Twin140+0.91</v>
      </c>
      <c r="S89">
        <v>30</v>
      </c>
      <c r="T89">
        <v>110</v>
      </c>
    </row>
    <row r="90" spans="16:20" x14ac:dyDescent="0.25">
      <c r="P90" s="10" t="s">
        <v>238</v>
      </c>
      <c r="Q90">
        <v>0.94</v>
      </c>
      <c r="R90" t="str">
        <f t="shared" si="12"/>
        <v>Twin140+0.94</v>
      </c>
      <c r="S90">
        <v>30</v>
      </c>
      <c r="T90">
        <v>110</v>
      </c>
    </row>
    <row r="91" spans="16:20" x14ac:dyDescent="0.25">
      <c r="P91" s="10" t="s">
        <v>238</v>
      </c>
      <c r="Q91">
        <v>1.02</v>
      </c>
      <c r="R91" t="str">
        <f t="shared" si="12"/>
        <v>Twin140+1.02</v>
      </c>
      <c r="S91">
        <v>30</v>
      </c>
      <c r="T91">
        <v>110</v>
      </c>
    </row>
    <row r="92" spans="16:20" x14ac:dyDescent="0.25">
      <c r="P92" s="10" t="s">
        <v>238</v>
      </c>
      <c r="Q92">
        <v>1.1000000000000001</v>
      </c>
      <c r="R92" t="str">
        <f t="shared" si="12"/>
        <v>Twin140+1.1</v>
      </c>
      <c r="S92">
        <v>30</v>
      </c>
      <c r="T92">
        <v>110</v>
      </c>
    </row>
    <row r="93" spans="16:20" x14ac:dyDescent="0.25">
      <c r="P93" s="13" t="s">
        <v>238</v>
      </c>
      <c r="Q93">
        <v>1.18</v>
      </c>
      <c r="R93" t="str">
        <f t="shared" si="12"/>
        <v>Twin140+1.18</v>
      </c>
      <c r="S93">
        <v>30</v>
      </c>
      <c r="T93">
        <v>110</v>
      </c>
    </row>
    <row r="94" spans="16:20" x14ac:dyDescent="0.25">
      <c r="P94" s="10" t="s">
        <v>239</v>
      </c>
      <c r="Q94">
        <v>0.63</v>
      </c>
      <c r="R94" t="str">
        <f t="shared" si="12"/>
        <v>Twin140Ultra0.63</v>
      </c>
      <c r="S94">
        <v>30</v>
      </c>
      <c r="T94">
        <v>110</v>
      </c>
    </row>
    <row r="95" spans="16:20" x14ac:dyDescent="0.25">
      <c r="P95" s="10" t="s">
        <v>239</v>
      </c>
      <c r="Q95">
        <v>0.71</v>
      </c>
      <c r="R95" t="str">
        <f t="shared" si="12"/>
        <v>Twin140Ultra0.71</v>
      </c>
      <c r="S95">
        <v>30</v>
      </c>
      <c r="T95">
        <v>110</v>
      </c>
    </row>
    <row r="96" spans="16:20" x14ac:dyDescent="0.25">
      <c r="P96" s="10" t="s">
        <v>239</v>
      </c>
      <c r="Q96">
        <v>0.79</v>
      </c>
      <c r="R96" t="str">
        <f t="shared" si="12"/>
        <v>Twin140Ultra0.79</v>
      </c>
      <c r="S96">
        <v>30</v>
      </c>
      <c r="T96">
        <v>110</v>
      </c>
    </row>
    <row r="97" spans="16:20" x14ac:dyDescent="0.25">
      <c r="P97" s="10" t="s">
        <v>239</v>
      </c>
      <c r="Q97">
        <v>0.87</v>
      </c>
      <c r="R97" t="str">
        <f t="shared" si="12"/>
        <v>Twin140Ultra0.87</v>
      </c>
      <c r="S97">
        <v>30</v>
      </c>
      <c r="T97">
        <v>110</v>
      </c>
    </row>
    <row r="98" spans="16:20" x14ac:dyDescent="0.25">
      <c r="P98" s="10" t="s">
        <v>239</v>
      </c>
      <c r="Q98">
        <v>0.94</v>
      </c>
      <c r="R98" t="str">
        <f t="shared" ref="R98:R129" si="13">P98&amp;Q98</f>
        <v>Twin140Ultra0.94</v>
      </c>
      <c r="S98">
        <v>30</v>
      </c>
      <c r="T98">
        <v>110</v>
      </c>
    </row>
    <row r="99" spans="16:20" x14ac:dyDescent="0.25">
      <c r="P99" s="10" t="s">
        <v>239</v>
      </c>
      <c r="Q99">
        <v>1.02</v>
      </c>
      <c r="R99" t="str">
        <f t="shared" si="13"/>
        <v>Twin140Ultra1.02</v>
      </c>
      <c r="S99">
        <v>30</v>
      </c>
      <c r="T99">
        <v>110</v>
      </c>
    </row>
    <row r="100" spans="16:20" x14ac:dyDescent="0.25">
      <c r="P100" s="10" t="s">
        <v>239</v>
      </c>
      <c r="Q100">
        <v>1.1000000000000001</v>
      </c>
      <c r="R100" t="str">
        <f t="shared" si="13"/>
        <v>Twin140Ultra1.1</v>
      </c>
      <c r="S100">
        <v>30</v>
      </c>
      <c r="T100">
        <v>110</v>
      </c>
    </row>
    <row r="101" spans="16:20" x14ac:dyDescent="0.25">
      <c r="P101" s="10" t="s">
        <v>239</v>
      </c>
      <c r="Q101">
        <v>1.18</v>
      </c>
      <c r="R101" t="str">
        <f t="shared" si="13"/>
        <v>Twin140Ultra1.18</v>
      </c>
      <c r="S101">
        <v>30</v>
      </c>
      <c r="T101">
        <v>110</v>
      </c>
    </row>
    <row r="102" spans="16:20" x14ac:dyDescent="0.25">
      <c r="P102" s="10" t="s">
        <v>239</v>
      </c>
      <c r="Q102">
        <v>1.26</v>
      </c>
      <c r="R102" t="str">
        <f t="shared" si="13"/>
        <v>Twin140Ultra1.26</v>
      </c>
      <c r="S102">
        <v>30</v>
      </c>
      <c r="T102">
        <v>110</v>
      </c>
    </row>
    <row r="103" spans="16:20" x14ac:dyDescent="0.25">
      <c r="P103" s="13" t="s">
        <v>239</v>
      </c>
      <c r="Q103">
        <v>1.34</v>
      </c>
      <c r="R103" t="str">
        <f t="shared" si="13"/>
        <v>Twin140Ultra1.34</v>
      </c>
      <c r="S103">
        <v>30</v>
      </c>
      <c r="T103">
        <v>110</v>
      </c>
    </row>
    <row r="104" spans="16:20" x14ac:dyDescent="0.25">
      <c r="P104" s="10" t="s">
        <v>240</v>
      </c>
      <c r="Q104">
        <v>0.71</v>
      </c>
      <c r="R104" t="str">
        <f t="shared" si="13"/>
        <v>Twin1600.71</v>
      </c>
      <c r="S104">
        <v>40</v>
      </c>
      <c r="T104">
        <v>120</v>
      </c>
    </row>
    <row r="105" spans="16:20" x14ac:dyDescent="0.25">
      <c r="P105" s="10" t="s">
        <v>240</v>
      </c>
      <c r="Q105">
        <v>0.79</v>
      </c>
      <c r="R105" t="str">
        <f t="shared" si="13"/>
        <v>Twin1600.79</v>
      </c>
      <c r="S105">
        <v>40</v>
      </c>
      <c r="T105">
        <v>120</v>
      </c>
    </row>
    <row r="106" spans="16:20" x14ac:dyDescent="0.25">
      <c r="P106" s="10" t="s">
        <v>240</v>
      </c>
      <c r="Q106">
        <v>0.87</v>
      </c>
      <c r="R106" t="str">
        <f t="shared" si="13"/>
        <v>Twin1600.87</v>
      </c>
      <c r="S106">
        <v>40</v>
      </c>
      <c r="T106">
        <v>120</v>
      </c>
    </row>
    <row r="107" spans="16:20" x14ac:dyDescent="0.25">
      <c r="P107" s="10" t="s">
        <v>240</v>
      </c>
      <c r="Q107">
        <v>0.94</v>
      </c>
      <c r="R107" t="str">
        <f t="shared" si="13"/>
        <v>Twin1600.94</v>
      </c>
      <c r="S107">
        <v>40</v>
      </c>
      <c r="T107">
        <v>120</v>
      </c>
    </row>
    <row r="108" spans="16:20" x14ac:dyDescent="0.25">
      <c r="P108" s="10" t="s">
        <v>240</v>
      </c>
      <c r="Q108">
        <v>1.02</v>
      </c>
      <c r="R108" t="str">
        <f t="shared" si="13"/>
        <v>Twin1601.02</v>
      </c>
      <c r="S108">
        <v>40</v>
      </c>
      <c r="T108">
        <v>120</v>
      </c>
    </row>
    <row r="109" spans="16:20" x14ac:dyDescent="0.25">
      <c r="P109" s="10" t="s">
        <v>240</v>
      </c>
      <c r="Q109">
        <v>1.1000000000000001</v>
      </c>
      <c r="R109" t="str">
        <f t="shared" si="13"/>
        <v>Twin1601.1</v>
      </c>
      <c r="S109">
        <v>40</v>
      </c>
      <c r="T109">
        <v>120</v>
      </c>
    </row>
    <row r="110" spans="16:20" x14ac:dyDescent="0.25">
      <c r="P110" s="10" t="s">
        <v>240</v>
      </c>
      <c r="Q110">
        <v>1.18</v>
      </c>
      <c r="R110" t="str">
        <f t="shared" si="13"/>
        <v>Twin1601.18</v>
      </c>
      <c r="S110">
        <v>40</v>
      </c>
      <c r="T110">
        <v>120</v>
      </c>
    </row>
    <row r="111" spans="16:20" x14ac:dyDescent="0.25">
      <c r="P111" s="10" t="s">
        <v>240</v>
      </c>
      <c r="Q111">
        <v>1.26</v>
      </c>
      <c r="R111" t="str">
        <f t="shared" si="13"/>
        <v>Twin1601.26</v>
      </c>
      <c r="S111">
        <v>40</v>
      </c>
      <c r="T111">
        <v>120</v>
      </c>
    </row>
    <row r="112" spans="16:20" x14ac:dyDescent="0.25">
      <c r="P112" s="10" t="s">
        <v>240</v>
      </c>
      <c r="Q112">
        <v>1.34</v>
      </c>
      <c r="R112" t="str">
        <f t="shared" si="13"/>
        <v>Twin1601.34</v>
      </c>
      <c r="S112">
        <v>40</v>
      </c>
      <c r="T112">
        <v>120</v>
      </c>
    </row>
    <row r="113" spans="16:20" x14ac:dyDescent="0.25">
      <c r="P113" s="10" t="s">
        <v>240</v>
      </c>
      <c r="Q113">
        <v>1.42</v>
      </c>
      <c r="R113" t="str">
        <f t="shared" si="13"/>
        <v>Twin1601.42</v>
      </c>
      <c r="S113">
        <v>40</v>
      </c>
      <c r="T113">
        <v>120</v>
      </c>
    </row>
    <row r="114" spans="16:20" x14ac:dyDescent="0.25">
      <c r="P114" s="13" t="s">
        <v>240</v>
      </c>
      <c r="Q114">
        <v>1.5</v>
      </c>
      <c r="R114" t="str">
        <f t="shared" si="13"/>
        <v>Twin1601.5</v>
      </c>
      <c r="S114">
        <v>40</v>
      </c>
      <c r="T114">
        <v>120</v>
      </c>
    </row>
    <row r="115" spans="16:20" x14ac:dyDescent="0.25">
      <c r="P115" s="10" t="s">
        <v>241</v>
      </c>
      <c r="Q115">
        <v>0.79</v>
      </c>
      <c r="R115" t="str">
        <f t="shared" si="13"/>
        <v>Twin202+0.79</v>
      </c>
      <c r="S115">
        <v>40</v>
      </c>
      <c r="T115">
        <v>120</v>
      </c>
    </row>
    <row r="116" spans="16:20" x14ac:dyDescent="0.25">
      <c r="P116" s="10" t="s">
        <v>241</v>
      </c>
      <c r="Q116">
        <v>0.87</v>
      </c>
      <c r="R116" t="str">
        <f t="shared" si="13"/>
        <v>Twin202+0.87</v>
      </c>
      <c r="S116">
        <v>40</v>
      </c>
      <c r="T116">
        <v>120</v>
      </c>
    </row>
    <row r="117" spans="16:20" x14ac:dyDescent="0.25">
      <c r="P117" s="10" t="s">
        <v>241</v>
      </c>
      <c r="Q117">
        <v>0.89</v>
      </c>
      <c r="R117" t="str">
        <f t="shared" si="13"/>
        <v>Twin202+0.89</v>
      </c>
      <c r="S117">
        <v>40</v>
      </c>
      <c r="T117">
        <v>120</v>
      </c>
    </row>
    <row r="118" spans="16:20" x14ac:dyDescent="0.25">
      <c r="P118" s="10" t="s">
        <v>241</v>
      </c>
      <c r="Q118">
        <v>0.91</v>
      </c>
      <c r="R118" t="str">
        <f t="shared" si="13"/>
        <v>Twin202+0.91</v>
      </c>
      <c r="S118">
        <v>40</v>
      </c>
      <c r="T118">
        <v>120</v>
      </c>
    </row>
    <row r="119" spans="16:20" x14ac:dyDescent="0.25">
      <c r="P119" s="10" t="s">
        <v>241</v>
      </c>
      <c r="Q119">
        <v>0.94</v>
      </c>
      <c r="R119" t="str">
        <f t="shared" si="13"/>
        <v>Twin202+0.94</v>
      </c>
      <c r="S119">
        <v>40</v>
      </c>
      <c r="T119">
        <v>120</v>
      </c>
    </row>
    <row r="120" spans="16:20" x14ac:dyDescent="0.25">
      <c r="P120" s="10" t="s">
        <v>241</v>
      </c>
      <c r="Q120">
        <v>0.98</v>
      </c>
      <c r="R120" t="str">
        <f t="shared" si="13"/>
        <v>Twin202+0.98</v>
      </c>
      <c r="S120">
        <v>40</v>
      </c>
      <c r="T120">
        <v>120</v>
      </c>
    </row>
    <row r="121" spans="16:20" x14ac:dyDescent="0.25">
      <c r="P121" s="10" t="s">
        <v>241</v>
      </c>
      <c r="Q121">
        <v>1.02</v>
      </c>
      <c r="R121" t="str">
        <f t="shared" si="13"/>
        <v>Twin202+1.02</v>
      </c>
      <c r="S121">
        <v>40</v>
      </c>
      <c r="T121">
        <v>120</v>
      </c>
    </row>
    <row r="122" spans="16:20" x14ac:dyDescent="0.25">
      <c r="P122" s="10" t="s">
        <v>241</v>
      </c>
      <c r="Q122">
        <v>1.06</v>
      </c>
      <c r="R122" t="str">
        <f t="shared" si="13"/>
        <v>Twin202+1.06</v>
      </c>
      <c r="S122">
        <v>40</v>
      </c>
      <c r="T122">
        <v>120</v>
      </c>
    </row>
    <row r="123" spans="16:20" x14ac:dyDescent="0.25">
      <c r="P123" s="10" t="s">
        <v>241</v>
      </c>
      <c r="Q123">
        <v>1.08</v>
      </c>
      <c r="R123" t="str">
        <f t="shared" si="13"/>
        <v>Twin202+1.08</v>
      </c>
      <c r="S123">
        <v>40</v>
      </c>
      <c r="T123">
        <v>120</v>
      </c>
    </row>
    <row r="124" spans="16:20" x14ac:dyDescent="0.25">
      <c r="P124" s="10" t="s">
        <v>241</v>
      </c>
      <c r="Q124">
        <v>1.1000000000000001</v>
      </c>
      <c r="R124" t="str">
        <f t="shared" si="13"/>
        <v>Twin202+1.1</v>
      </c>
      <c r="S124">
        <v>40</v>
      </c>
      <c r="T124">
        <v>120</v>
      </c>
    </row>
    <row r="125" spans="16:20" x14ac:dyDescent="0.25">
      <c r="P125" s="10" t="s">
        <v>241</v>
      </c>
      <c r="Q125">
        <v>1.18</v>
      </c>
      <c r="R125" t="str">
        <f t="shared" si="13"/>
        <v>Twin202+1.18</v>
      </c>
      <c r="S125">
        <v>40</v>
      </c>
      <c r="T125">
        <v>120</v>
      </c>
    </row>
    <row r="126" spans="16:20" x14ac:dyDescent="0.25">
      <c r="P126" s="10" t="s">
        <v>241</v>
      </c>
      <c r="Q126">
        <v>1.28</v>
      </c>
      <c r="R126" t="str">
        <f t="shared" si="13"/>
        <v>Twin202+1.28</v>
      </c>
      <c r="S126">
        <v>40</v>
      </c>
      <c r="T126">
        <v>120</v>
      </c>
    </row>
    <row r="127" spans="16:20" x14ac:dyDescent="0.25">
      <c r="P127" s="10" t="s">
        <v>241</v>
      </c>
      <c r="Q127">
        <v>1.38</v>
      </c>
      <c r="R127" t="str">
        <f t="shared" si="13"/>
        <v>Twin202+1.38</v>
      </c>
      <c r="S127">
        <v>40</v>
      </c>
      <c r="T127">
        <v>120</v>
      </c>
    </row>
    <row r="128" spans="16:20" x14ac:dyDescent="0.25">
      <c r="P128" s="10" t="s">
        <v>241</v>
      </c>
      <c r="Q128">
        <v>1.48</v>
      </c>
      <c r="R128" t="str">
        <f t="shared" si="13"/>
        <v>Twin202+1.48</v>
      </c>
      <c r="S128">
        <v>40</v>
      </c>
      <c r="T128">
        <v>120</v>
      </c>
    </row>
    <row r="129" spans="16:20" x14ac:dyDescent="0.25">
      <c r="P129" s="13" t="s">
        <v>241</v>
      </c>
      <c r="Q129">
        <v>1.58</v>
      </c>
      <c r="R129" t="str">
        <f t="shared" si="13"/>
        <v>Twin202+1.58</v>
      </c>
      <c r="S129">
        <v>40</v>
      </c>
      <c r="T129">
        <v>120</v>
      </c>
    </row>
    <row r="130" spans="16:20" x14ac:dyDescent="0.25">
      <c r="P130" s="10" t="s">
        <v>242</v>
      </c>
      <c r="Q130">
        <v>0.87</v>
      </c>
      <c r="R130" t="str">
        <f t="shared" ref="R130:R161" si="14">P130&amp;Q130</f>
        <v>Twin202Ultra0.87</v>
      </c>
      <c r="S130">
        <v>40</v>
      </c>
      <c r="T130">
        <v>120</v>
      </c>
    </row>
    <row r="131" spans="16:20" x14ac:dyDescent="0.25">
      <c r="P131" s="10" t="s">
        <v>242</v>
      </c>
      <c r="Q131">
        <v>0.94</v>
      </c>
      <c r="R131" t="str">
        <f t="shared" si="14"/>
        <v>Twin202Ultra0.94</v>
      </c>
      <c r="S131">
        <v>40</v>
      </c>
      <c r="T131">
        <v>120</v>
      </c>
    </row>
    <row r="132" spans="16:20" x14ac:dyDescent="0.25">
      <c r="P132" s="10" t="s">
        <v>242</v>
      </c>
      <c r="Q132">
        <v>1.02</v>
      </c>
      <c r="R132" t="str">
        <f t="shared" si="14"/>
        <v>Twin202Ultra1.02</v>
      </c>
      <c r="S132">
        <v>40</v>
      </c>
      <c r="T132">
        <v>120</v>
      </c>
    </row>
    <row r="133" spans="16:20" x14ac:dyDescent="0.25">
      <c r="P133" s="10" t="s">
        <v>242</v>
      </c>
      <c r="Q133">
        <v>1.1000000000000001</v>
      </c>
      <c r="R133" t="str">
        <f t="shared" si="14"/>
        <v>Twin202Ultra1.1</v>
      </c>
      <c r="S133">
        <v>40</v>
      </c>
      <c r="T133">
        <v>120</v>
      </c>
    </row>
    <row r="134" spans="16:20" x14ac:dyDescent="0.25">
      <c r="P134" s="10" t="s">
        <v>242</v>
      </c>
      <c r="Q134">
        <v>1.18</v>
      </c>
      <c r="R134" t="str">
        <f t="shared" si="14"/>
        <v>Twin202Ultra1.18</v>
      </c>
      <c r="S134">
        <v>40</v>
      </c>
      <c r="T134">
        <v>120</v>
      </c>
    </row>
    <row r="135" spans="16:20" x14ac:dyDescent="0.25">
      <c r="P135" s="10" t="s">
        <v>242</v>
      </c>
      <c r="Q135">
        <v>1.26</v>
      </c>
      <c r="R135" t="str">
        <f t="shared" si="14"/>
        <v>Twin202Ultra1.26</v>
      </c>
      <c r="S135">
        <v>40</v>
      </c>
      <c r="T135">
        <v>120</v>
      </c>
    </row>
    <row r="136" spans="16:20" x14ac:dyDescent="0.25">
      <c r="P136" s="10" t="s">
        <v>242</v>
      </c>
      <c r="Q136">
        <v>1.34</v>
      </c>
      <c r="R136" t="str">
        <f t="shared" si="14"/>
        <v>Twin202Ultra1.34</v>
      </c>
      <c r="S136">
        <v>40</v>
      </c>
      <c r="T136">
        <v>120</v>
      </c>
    </row>
    <row r="137" spans="16:20" x14ac:dyDescent="0.25">
      <c r="P137" s="10" t="s">
        <v>242</v>
      </c>
      <c r="Q137">
        <v>1.42</v>
      </c>
      <c r="R137" t="str">
        <f t="shared" si="14"/>
        <v>Twin202Ultra1.42</v>
      </c>
      <c r="S137">
        <v>40</v>
      </c>
      <c r="T137">
        <v>120</v>
      </c>
    </row>
    <row r="138" spans="16:20" x14ac:dyDescent="0.25">
      <c r="P138" s="10" t="s">
        <v>242</v>
      </c>
      <c r="Q138">
        <v>1.5</v>
      </c>
      <c r="R138" t="str">
        <f t="shared" si="14"/>
        <v>Twin202Ultra1.5</v>
      </c>
      <c r="S138">
        <v>40</v>
      </c>
      <c r="T138">
        <v>120</v>
      </c>
    </row>
    <row r="139" spans="16:20" x14ac:dyDescent="0.25">
      <c r="P139" s="10" t="s">
        <v>242</v>
      </c>
      <c r="Q139">
        <v>1.57</v>
      </c>
      <c r="R139" t="str">
        <f t="shared" si="14"/>
        <v>Twin202Ultra1.57</v>
      </c>
      <c r="S139">
        <v>40</v>
      </c>
      <c r="T139">
        <v>120</v>
      </c>
    </row>
    <row r="140" spans="16:20" x14ac:dyDescent="0.25">
      <c r="P140" s="10" t="s">
        <v>242</v>
      </c>
      <c r="Q140">
        <v>1.65</v>
      </c>
      <c r="R140" t="str">
        <f t="shared" si="14"/>
        <v>Twin202Ultra1.65</v>
      </c>
      <c r="S140">
        <v>40</v>
      </c>
      <c r="T140">
        <v>120</v>
      </c>
    </row>
    <row r="141" spans="16:20" x14ac:dyDescent="0.25">
      <c r="P141" s="10" t="s">
        <v>242</v>
      </c>
      <c r="Q141">
        <v>1.73</v>
      </c>
      <c r="R141" t="str">
        <f t="shared" si="14"/>
        <v>Twin202Ultra1.73</v>
      </c>
      <c r="S141">
        <v>40</v>
      </c>
      <c r="T141">
        <v>120</v>
      </c>
    </row>
    <row r="142" spans="16:20" x14ac:dyDescent="0.25">
      <c r="P142" s="13" t="s">
        <v>242</v>
      </c>
      <c r="Q142">
        <v>1.77</v>
      </c>
      <c r="R142" t="str">
        <f t="shared" si="14"/>
        <v>Twin202Ultra1.77</v>
      </c>
      <c r="S142">
        <v>40</v>
      </c>
      <c r="T142">
        <v>120</v>
      </c>
    </row>
    <row r="143" spans="16:20" x14ac:dyDescent="0.25">
      <c r="P143" s="10" t="s">
        <v>243</v>
      </c>
      <c r="Q143">
        <v>0.39</v>
      </c>
      <c r="R143" t="str">
        <f t="shared" si="14"/>
        <v>TwinMax180.39</v>
      </c>
      <c r="S143">
        <v>25</v>
      </c>
      <c r="T143">
        <v>110</v>
      </c>
    </row>
    <row r="144" spans="16:20" x14ac:dyDescent="0.25">
      <c r="P144" s="10" t="s">
        <v>243</v>
      </c>
      <c r="Q144">
        <v>0.43</v>
      </c>
      <c r="R144" t="str">
        <f t="shared" si="14"/>
        <v>TwinMax180.43</v>
      </c>
      <c r="S144">
        <v>25</v>
      </c>
      <c r="T144">
        <v>110</v>
      </c>
    </row>
    <row r="145" spans="16:20" x14ac:dyDescent="0.25">
      <c r="P145" s="10" t="s">
        <v>243</v>
      </c>
      <c r="Q145">
        <v>0.47</v>
      </c>
      <c r="R145" t="str">
        <f t="shared" si="14"/>
        <v>TwinMax180.47</v>
      </c>
      <c r="S145">
        <v>25</v>
      </c>
      <c r="T145">
        <v>110</v>
      </c>
    </row>
    <row r="146" spans="16:20" x14ac:dyDescent="0.25">
      <c r="P146" s="10" t="s">
        <v>243</v>
      </c>
      <c r="Q146">
        <v>0.51</v>
      </c>
      <c r="R146" t="str">
        <f t="shared" si="14"/>
        <v>TwinMax180.51</v>
      </c>
      <c r="S146">
        <v>25</v>
      </c>
      <c r="T146">
        <v>110</v>
      </c>
    </row>
    <row r="147" spans="16:20" x14ac:dyDescent="0.25">
      <c r="P147" s="10" t="s">
        <v>243</v>
      </c>
      <c r="Q147">
        <v>0.55000000000000004</v>
      </c>
      <c r="R147" t="str">
        <f t="shared" si="14"/>
        <v>TwinMax180.55</v>
      </c>
      <c r="S147">
        <v>25</v>
      </c>
      <c r="T147">
        <v>110</v>
      </c>
    </row>
    <row r="148" spans="16:20" x14ac:dyDescent="0.25">
      <c r="P148" s="10" t="s">
        <v>243</v>
      </c>
      <c r="Q148">
        <v>0.59000000000000008</v>
      </c>
      <c r="R148" t="str">
        <f t="shared" si="14"/>
        <v>TwinMax180.59</v>
      </c>
      <c r="S148">
        <v>25</v>
      </c>
      <c r="T148">
        <v>110</v>
      </c>
    </row>
    <row r="149" spans="16:20" x14ac:dyDescent="0.25">
      <c r="P149" s="10" t="s">
        <v>243</v>
      </c>
      <c r="Q149">
        <v>0.63</v>
      </c>
      <c r="R149" t="str">
        <f t="shared" si="14"/>
        <v>TwinMax180.63</v>
      </c>
      <c r="S149">
        <v>25</v>
      </c>
      <c r="T149">
        <v>110</v>
      </c>
    </row>
    <row r="150" spans="16:20" x14ac:dyDescent="0.25">
      <c r="P150" s="10" t="s">
        <v>243</v>
      </c>
      <c r="Q150">
        <v>0.67</v>
      </c>
      <c r="R150" t="str">
        <f t="shared" si="14"/>
        <v>TwinMax180.67</v>
      </c>
      <c r="S150">
        <v>25</v>
      </c>
      <c r="T150">
        <v>110</v>
      </c>
    </row>
    <row r="151" spans="16:20" x14ac:dyDescent="0.25">
      <c r="P151" s="10" t="s">
        <v>243</v>
      </c>
      <c r="Q151">
        <v>0.71</v>
      </c>
      <c r="R151" t="str">
        <f t="shared" si="14"/>
        <v>TwinMax180.71</v>
      </c>
      <c r="S151">
        <v>25</v>
      </c>
      <c r="T151">
        <v>110</v>
      </c>
    </row>
    <row r="152" spans="16:20" x14ac:dyDescent="0.25">
      <c r="P152" s="10" t="s">
        <v>243</v>
      </c>
      <c r="Q152">
        <v>0.79</v>
      </c>
      <c r="R152" t="str">
        <f t="shared" si="14"/>
        <v>TwinMax180.79</v>
      </c>
      <c r="S152">
        <v>25</v>
      </c>
      <c r="T152">
        <v>110</v>
      </c>
    </row>
    <row r="153" spans="16:20" x14ac:dyDescent="0.25">
      <c r="P153" s="10" t="s">
        <v>243</v>
      </c>
      <c r="Q153">
        <v>0.87</v>
      </c>
      <c r="R153" t="str">
        <f t="shared" si="14"/>
        <v>TwinMax180.87</v>
      </c>
      <c r="S153">
        <v>25</v>
      </c>
      <c r="T153">
        <v>110</v>
      </c>
    </row>
    <row r="154" spans="16:20" x14ac:dyDescent="0.25">
      <c r="P154" s="13" t="s">
        <v>243</v>
      </c>
      <c r="Q154">
        <v>0.94</v>
      </c>
      <c r="R154" t="str">
        <f t="shared" si="14"/>
        <v>TwinMax180.94</v>
      </c>
      <c r="S154">
        <v>25</v>
      </c>
      <c r="T154">
        <v>110</v>
      </c>
    </row>
    <row r="155" spans="16:20" x14ac:dyDescent="0.25">
      <c r="P155" s="10" t="s">
        <v>244</v>
      </c>
      <c r="Q155">
        <v>0.4</v>
      </c>
      <c r="R155" t="str">
        <f t="shared" si="14"/>
        <v>X100-51H180.4</v>
      </c>
      <c r="S155">
        <v>40</v>
      </c>
      <c r="T155">
        <v>85</v>
      </c>
    </row>
    <row r="156" spans="16:20" x14ac:dyDescent="0.25">
      <c r="P156" s="10" t="s">
        <v>244</v>
      </c>
      <c r="Q156">
        <v>0.45</v>
      </c>
      <c r="R156" t="str">
        <f t="shared" si="14"/>
        <v>X100-51H180.45</v>
      </c>
      <c r="S156">
        <v>40</v>
      </c>
      <c r="T156">
        <v>85</v>
      </c>
    </row>
    <row r="157" spans="16:20" x14ac:dyDescent="0.25">
      <c r="P157" s="10" t="s">
        <v>244</v>
      </c>
      <c r="Q157">
        <v>0.5</v>
      </c>
      <c r="R157" t="str">
        <f t="shared" si="14"/>
        <v>X100-51H180.5</v>
      </c>
      <c r="S157">
        <v>40</v>
      </c>
      <c r="T157">
        <v>75</v>
      </c>
    </row>
    <row r="158" spans="16:20" x14ac:dyDescent="0.25">
      <c r="P158" s="10" t="s">
        <v>244</v>
      </c>
      <c r="Q158">
        <v>0.55000000000000004</v>
      </c>
      <c r="R158" t="str">
        <f t="shared" si="14"/>
        <v>X100-51H180.55</v>
      </c>
      <c r="S158">
        <v>40</v>
      </c>
      <c r="T158">
        <v>60</v>
      </c>
    </row>
    <row r="159" spans="16:20" x14ac:dyDescent="0.25">
      <c r="P159" s="10" t="s">
        <v>244</v>
      </c>
      <c r="Q159">
        <v>0.6</v>
      </c>
      <c r="R159" t="str">
        <f t="shared" si="14"/>
        <v>X100-51H180.6</v>
      </c>
      <c r="S159">
        <v>40</v>
      </c>
      <c r="T159">
        <v>50</v>
      </c>
    </row>
    <row r="160" spans="16:20" x14ac:dyDescent="0.25">
      <c r="P160" s="13" t="s">
        <v>244</v>
      </c>
      <c r="Q160">
        <v>0.65</v>
      </c>
      <c r="R160" t="str">
        <f t="shared" si="14"/>
        <v>X100-51H180.65</v>
      </c>
      <c r="S160">
        <v>40</v>
      </c>
      <c r="T160">
        <v>40</v>
      </c>
    </row>
    <row r="161" spans="16:20" x14ac:dyDescent="0.25">
      <c r="P161" s="10" t="s">
        <v>245</v>
      </c>
      <c r="Q161">
        <v>0.4</v>
      </c>
      <c r="R161" t="str">
        <f t="shared" si="14"/>
        <v>X100-51H240.4</v>
      </c>
      <c r="S161">
        <v>40</v>
      </c>
      <c r="T161">
        <v>85</v>
      </c>
    </row>
    <row r="162" spans="16:20" x14ac:dyDescent="0.25">
      <c r="P162" s="10" t="s">
        <v>245</v>
      </c>
      <c r="Q162">
        <v>0.45</v>
      </c>
      <c r="R162" t="str">
        <f t="shared" ref="R162:R201" si="15">P162&amp;Q162</f>
        <v>X100-51H240.45</v>
      </c>
      <c r="S162">
        <v>40</v>
      </c>
      <c r="T162">
        <v>85</v>
      </c>
    </row>
    <row r="163" spans="16:20" x14ac:dyDescent="0.25">
      <c r="P163" s="10" t="s">
        <v>245</v>
      </c>
      <c r="Q163">
        <v>0.5</v>
      </c>
      <c r="R163" t="str">
        <f t="shared" si="15"/>
        <v>X100-51H240.5</v>
      </c>
      <c r="S163">
        <v>40</v>
      </c>
      <c r="T163">
        <v>75</v>
      </c>
    </row>
    <row r="164" spans="16:20" x14ac:dyDescent="0.25">
      <c r="P164" s="10" t="s">
        <v>245</v>
      </c>
      <c r="Q164">
        <v>0.55000000000000004</v>
      </c>
      <c r="R164" t="str">
        <f t="shared" si="15"/>
        <v>X100-51H240.55</v>
      </c>
      <c r="S164">
        <v>40</v>
      </c>
      <c r="T164">
        <v>60</v>
      </c>
    </row>
    <row r="165" spans="16:20" x14ac:dyDescent="0.25">
      <c r="P165" s="10" t="s">
        <v>245</v>
      </c>
      <c r="Q165">
        <v>0.6</v>
      </c>
      <c r="R165" t="str">
        <f t="shared" si="15"/>
        <v>X100-51H240.6</v>
      </c>
      <c r="S165">
        <v>40</v>
      </c>
      <c r="T165">
        <v>50</v>
      </c>
    </row>
    <row r="166" spans="16:20" x14ac:dyDescent="0.25">
      <c r="P166" s="13" t="s">
        <v>245</v>
      </c>
      <c r="Q166">
        <v>0.65</v>
      </c>
      <c r="R166" t="str">
        <f t="shared" si="15"/>
        <v>X100-51H240.65</v>
      </c>
      <c r="S166">
        <v>40</v>
      </c>
      <c r="T166">
        <v>40</v>
      </c>
    </row>
    <row r="167" spans="16:20" x14ac:dyDescent="0.25">
      <c r="P167" s="10" t="s">
        <v>246</v>
      </c>
      <c r="Q167">
        <v>0.4</v>
      </c>
      <c r="R167" t="str">
        <f t="shared" si="15"/>
        <v>X100-51L180.4</v>
      </c>
      <c r="S167">
        <v>90</v>
      </c>
      <c r="T167">
        <v>100</v>
      </c>
    </row>
    <row r="168" spans="16:20" x14ac:dyDescent="0.25">
      <c r="P168" s="10" t="s">
        <v>246</v>
      </c>
      <c r="Q168">
        <v>0.45</v>
      </c>
      <c r="R168" t="str">
        <f t="shared" si="15"/>
        <v>X100-51L180.45</v>
      </c>
      <c r="S168">
        <v>90</v>
      </c>
      <c r="T168">
        <v>100</v>
      </c>
    </row>
    <row r="169" spans="16:20" x14ac:dyDescent="0.25">
      <c r="P169" s="10" t="s">
        <v>246</v>
      </c>
      <c r="Q169">
        <v>0.5</v>
      </c>
      <c r="R169" t="str">
        <f t="shared" si="15"/>
        <v>X100-51L180.5</v>
      </c>
      <c r="S169">
        <v>80</v>
      </c>
      <c r="T169">
        <v>100</v>
      </c>
    </row>
    <row r="170" spans="16:20" x14ac:dyDescent="0.25">
      <c r="P170" s="10" t="s">
        <v>246</v>
      </c>
      <c r="Q170">
        <v>0.55000000000000004</v>
      </c>
      <c r="R170" t="str">
        <f t="shared" si="15"/>
        <v>X100-51L180.55</v>
      </c>
      <c r="S170">
        <v>65</v>
      </c>
      <c r="T170">
        <v>100</v>
      </c>
    </row>
    <row r="171" spans="16:20" x14ac:dyDescent="0.25">
      <c r="P171" s="10" t="s">
        <v>246</v>
      </c>
      <c r="Q171">
        <v>0.6</v>
      </c>
      <c r="R171" t="str">
        <f t="shared" si="15"/>
        <v>X100-51L180.6</v>
      </c>
      <c r="S171">
        <v>55</v>
      </c>
      <c r="T171">
        <v>100</v>
      </c>
    </row>
    <row r="172" spans="16:20" x14ac:dyDescent="0.25">
      <c r="P172" s="10" t="s">
        <v>246</v>
      </c>
      <c r="Q172">
        <v>0.65</v>
      </c>
      <c r="R172" t="str">
        <f t="shared" si="15"/>
        <v>X100-51L180.65</v>
      </c>
      <c r="S172">
        <v>45</v>
      </c>
      <c r="T172">
        <v>100</v>
      </c>
    </row>
    <row r="173" spans="16:20" x14ac:dyDescent="0.25">
      <c r="P173" s="10" t="s">
        <v>246</v>
      </c>
      <c r="Q173">
        <v>0.7</v>
      </c>
      <c r="R173" t="str">
        <f t="shared" si="15"/>
        <v>X100-51L180.7</v>
      </c>
      <c r="S173">
        <v>40</v>
      </c>
      <c r="T173">
        <v>100</v>
      </c>
    </row>
    <row r="174" spans="16:20" x14ac:dyDescent="0.25">
      <c r="P174" s="10" t="s">
        <v>246</v>
      </c>
      <c r="Q174">
        <v>0.75</v>
      </c>
      <c r="R174" t="str">
        <f t="shared" si="15"/>
        <v>X100-51L180.75</v>
      </c>
      <c r="S174">
        <v>40</v>
      </c>
      <c r="T174">
        <v>100</v>
      </c>
    </row>
    <row r="175" spans="16:20" x14ac:dyDescent="0.25">
      <c r="P175" s="10" t="s">
        <v>246</v>
      </c>
      <c r="Q175">
        <v>0.8</v>
      </c>
      <c r="R175" t="str">
        <f t="shared" si="15"/>
        <v>X100-51L180.8</v>
      </c>
      <c r="S175">
        <v>40</v>
      </c>
      <c r="T175">
        <v>100</v>
      </c>
    </row>
    <row r="176" spans="16:20" x14ac:dyDescent="0.25">
      <c r="P176" s="10" t="s">
        <v>246</v>
      </c>
      <c r="Q176">
        <v>0.85</v>
      </c>
      <c r="R176" t="str">
        <f t="shared" si="15"/>
        <v>X100-51L180.85</v>
      </c>
      <c r="S176">
        <v>40</v>
      </c>
      <c r="T176">
        <v>100</v>
      </c>
    </row>
    <row r="177" spans="16:20" x14ac:dyDescent="0.25">
      <c r="P177" s="10" t="s">
        <v>246</v>
      </c>
      <c r="Q177">
        <v>0.9</v>
      </c>
      <c r="R177" t="str">
        <f t="shared" si="15"/>
        <v>X100-51L180.9</v>
      </c>
      <c r="S177">
        <v>40</v>
      </c>
      <c r="T177">
        <v>100</v>
      </c>
    </row>
    <row r="178" spans="16:20" x14ac:dyDescent="0.25">
      <c r="P178" s="10" t="s">
        <v>246</v>
      </c>
      <c r="Q178">
        <v>0.95</v>
      </c>
      <c r="R178" t="str">
        <f t="shared" si="15"/>
        <v>X100-51L180.95</v>
      </c>
      <c r="S178">
        <v>40</v>
      </c>
      <c r="T178">
        <v>100</v>
      </c>
    </row>
    <row r="179" spans="16:20" x14ac:dyDescent="0.25">
      <c r="P179" s="13" t="s">
        <v>246</v>
      </c>
      <c r="Q179">
        <v>1</v>
      </c>
      <c r="R179" t="str">
        <f t="shared" si="15"/>
        <v>X100-51L181</v>
      </c>
      <c r="S179">
        <v>45</v>
      </c>
      <c r="T179">
        <v>100</v>
      </c>
    </row>
    <row r="180" spans="16:20" x14ac:dyDescent="0.25">
      <c r="P180" s="10" t="s">
        <v>247</v>
      </c>
      <c r="Q180">
        <v>0.4</v>
      </c>
      <c r="R180" t="str">
        <f t="shared" si="15"/>
        <v>X100-51L240.4</v>
      </c>
      <c r="S180">
        <v>90</v>
      </c>
      <c r="T180">
        <v>100</v>
      </c>
    </row>
    <row r="181" spans="16:20" x14ac:dyDescent="0.25">
      <c r="P181" s="10" t="s">
        <v>247</v>
      </c>
      <c r="Q181">
        <v>0.45</v>
      </c>
      <c r="R181" t="str">
        <f t="shared" si="15"/>
        <v>X100-51L240.45</v>
      </c>
      <c r="S181">
        <v>90</v>
      </c>
      <c r="T181">
        <v>100</v>
      </c>
    </row>
    <row r="182" spans="16:20" x14ac:dyDescent="0.25">
      <c r="P182" s="10" t="s">
        <v>247</v>
      </c>
      <c r="Q182">
        <v>0.5</v>
      </c>
      <c r="R182" t="str">
        <f t="shared" si="15"/>
        <v>X100-51L240.5</v>
      </c>
      <c r="S182">
        <v>80</v>
      </c>
      <c r="T182">
        <v>100</v>
      </c>
    </row>
    <row r="183" spans="16:20" x14ac:dyDescent="0.25">
      <c r="P183" s="10" t="s">
        <v>247</v>
      </c>
      <c r="Q183">
        <v>0.55000000000000004</v>
      </c>
      <c r="R183" t="str">
        <f t="shared" si="15"/>
        <v>X100-51L240.55</v>
      </c>
      <c r="S183">
        <v>65</v>
      </c>
      <c r="T183">
        <v>100</v>
      </c>
    </row>
    <row r="184" spans="16:20" x14ac:dyDescent="0.25">
      <c r="P184" s="10" t="s">
        <v>247</v>
      </c>
      <c r="Q184">
        <v>0.6</v>
      </c>
      <c r="R184" t="str">
        <f t="shared" si="15"/>
        <v>X100-51L240.6</v>
      </c>
      <c r="S184">
        <v>55</v>
      </c>
      <c r="T184">
        <v>100</v>
      </c>
    </row>
    <row r="185" spans="16:20" x14ac:dyDescent="0.25">
      <c r="P185" s="10" t="s">
        <v>247</v>
      </c>
      <c r="Q185">
        <v>0.65</v>
      </c>
      <c r="R185" t="str">
        <f t="shared" si="15"/>
        <v>X100-51L240.65</v>
      </c>
      <c r="S185">
        <v>45</v>
      </c>
      <c r="T185">
        <v>100</v>
      </c>
    </row>
    <row r="186" spans="16:20" x14ac:dyDescent="0.25">
      <c r="P186" s="10" t="s">
        <v>247</v>
      </c>
      <c r="Q186">
        <v>0.7</v>
      </c>
      <c r="R186" t="str">
        <f t="shared" si="15"/>
        <v>X100-51L240.7</v>
      </c>
      <c r="S186">
        <v>40</v>
      </c>
      <c r="T186">
        <v>100</v>
      </c>
    </row>
    <row r="187" spans="16:20" x14ac:dyDescent="0.25">
      <c r="P187" s="10" t="s">
        <v>247</v>
      </c>
      <c r="Q187">
        <v>0.75</v>
      </c>
      <c r="R187" t="str">
        <f t="shared" si="15"/>
        <v>X100-51L240.75</v>
      </c>
      <c r="S187">
        <v>40</v>
      </c>
      <c r="T187">
        <v>100</v>
      </c>
    </row>
    <row r="188" spans="16:20" x14ac:dyDescent="0.25">
      <c r="P188" s="10" t="s">
        <v>247</v>
      </c>
      <c r="Q188">
        <v>0.8</v>
      </c>
      <c r="R188" t="str">
        <f t="shared" si="15"/>
        <v>X100-51L240.8</v>
      </c>
      <c r="S188">
        <v>40</v>
      </c>
      <c r="T188">
        <v>100</v>
      </c>
    </row>
    <row r="189" spans="16:20" x14ac:dyDescent="0.25">
      <c r="P189" s="10" t="s">
        <v>247</v>
      </c>
      <c r="Q189">
        <v>0.85</v>
      </c>
      <c r="R189" t="str">
        <f t="shared" si="15"/>
        <v>X100-51L240.85</v>
      </c>
      <c r="S189">
        <v>40</v>
      </c>
      <c r="T189">
        <v>100</v>
      </c>
    </row>
    <row r="190" spans="16:20" x14ac:dyDescent="0.25">
      <c r="P190" s="10" t="s">
        <v>247</v>
      </c>
      <c r="Q190">
        <v>0.9</v>
      </c>
      <c r="R190" t="str">
        <f t="shared" si="15"/>
        <v>X100-51L240.9</v>
      </c>
      <c r="S190">
        <v>40</v>
      </c>
      <c r="T190">
        <v>100</v>
      </c>
    </row>
    <row r="191" spans="16:20" x14ac:dyDescent="0.25">
      <c r="P191" s="10" t="s">
        <v>247</v>
      </c>
      <c r="Q191">
        <v>0.95</v>
      </c>
      <c r="R191" t="str">
        <f t="shared" si="15"/>
        <v>X100-51L240.95</v>
      </c>
      <c r="S191">
        <v>40</v>
      </c>
      <c r="T191">
        <v>100</v>
      </c>
    </row>
    <row r="192" spans="16:20" x14ac:dyDescent="0.25">
      <c r="P192" s="13" t="s">
        <v>247</v>
      </c>
      <c r="Q192">
        <v>1</v>
      </c>
      <c r="R192" t="str">
        <f t="shared" si="15"/>
        <v>X100-51L241</v>
      </c>
      <c r="S192">
        <v>45</v>
      </c>
      <c r="T192">
        <v>100</v>
      </c>
    </row>
    <row r="193" spans="16:20" x14ac:dyDescent="0.25">
      <c r="P193" s="10" t="s">
        <v>319</v>
      </c>
      <c r="Q193">
        <v>1.05</v>
      </c>
      <c r="R193" t="str">
        <f t="shared" si="15"/>
        <v>BigGun200Taper1.05</v>
      </c>
      <c r="S193">
        <v>58.015095080000002</v>
      </c>
      <c r="T193">
        <v>130.53396393</v>
      </c>
    </row>
    <row r="194" spans="16:20" x14ac:dyDescent="0.25">
      <c r="P194" s="10" t="s">
        <v>319</v>
      </c>
      <c r="Q194">
        <v>1.1000000000000001</v>
      </c>
      <c r="R194" t="str">
        <f t="shared" si="15"/>
        <v>BigGun200Taper1.1</v>
      </c>
      <c r="S194">
        <v>58.015095080000002</v>
      </c>
      <c r="T194">
        <v>130.53396393</v>
      </c>
    </row>
    <row r="195" spans="16:20" x14ac:dyDescent="0.25">
      <c r="P195" s="10" t="s">
        <v>319</v>
      </c>
      <c r="Q195">
        <v>1.2</v>
      </c>
      <c r="R195" t="str">
        <f t="shared" si="15"/>
        <v>BigGun200Taper1.2</v>
      </c>
      <c r="S195">
        <v>58.015095080000002</v>
      </c>
      <c r="T195">
        <v>130.53396393</v>
      </c>
    </row>
    <row r="196" spans="16:20" x14ac:dyDescent="0.25">
      <c r="P196" s="10" t="s">
        <v>319</v>
      </c>
      <c r="Q196">
        <v>1.3</v>
      </c>
      <c r="R196" t="str">
        <f t="shared" si="15"/>
        <v>BigGun200Taper1.3</v>
      </c>
      <c r="S196">
        <v>58.015095080000002</v>
      </c>
      <c r="T196">
        <v>130.53396393</v>
      </c>
    </row>
    <row r="197" spans="16:20" x14ac:dyDescent="0.25">
      <c r="P197" s="10" t="s">
        <v>319</v>
      </c>
      <c r="Q197">
        <v>1.4</v>
      </c>
      <c r="R197" t="str">
        <f t="shared" si="15"/>
        <v>BigGun200Taper1.4</v>
      </c>
      <c r="S197">
        <v>58.015095080000002</v>
      </c>
      <c r="T197">
        <v>130.53396393</v>
      </c>
    </row>
    <row r="198" spans="16:20" x14ac:dyDescent="0.25">
      <c r="P198" s="10" t="s">
        <v>319</v>
      </c>
      <c r="Q198">
        <v>1.5</v>
      </c>
      <c r="R198" t="str">
        <f t="shared" si="15"/>
        <v>BigGun200Taper1.5</v>
      </c>
      <c r="S198">
        <v>58.015095080000002</v>
      </c>
      <c r="T198">
        <v>130.53396393</v>
      </c>
    </row>
    <row r="199" spans="16:20" x14ac:dyDescent="0.25">
      <c r="P199" s="10" t="s">
        <v>319</v>
      </c>
      <c r="Q199">
        <v>1.6</v>
      </c>
      <c r="R199" t="str">
        <f t="shared" si="15"/>
        <v>BigGun200Taper1.6</v>
      </c>
      <c r="S199">
        <v>58.015095080000002</v>
      </c>
      <c r="T199">
        <v>130.53396393</v>
      </c>
    </row>
    <row r="200" spans="16:20" x14ac:dyDescent="0.25">
      <c r="P200" s="10" t="s">
        <v>319</v>
      </c>
      <c r="Q200">
        <v>1.75</v>
      </c>
      <c r="R200" t="str">
        <f t="shared" si="15"/>
        <v>BigGun200Taper1.75</v>
      </c>
      <c r="S200">
        <v>58.015095080000002</v>
      </c>
      <c r="T200">
        <v>130.53396393</v>
      </c>
    </row>
    <row r="201" spans="16:20" x14ac:dyDescent="0.25">
      <c r="P201" s="10" t="s">
        <v>319</v>
      </c>
      <c r="Q201">
        <v>1.9</v>
      </c>
      <c r="R201" t="str">
        <f t="shared" si="15"/>
        <v>BigGun200Taper1.9</v>
      </c>
      <c r="S201">
        <v>58.015095080000002</v>
      </c>
      <c r="T201">
        <v>130.53396393</v>
      </c>
    </row>
  </sheetData>
  <sheetProtection selectLockedCells="1"/>
  <mergeCells count="2">
    <mergeCell ref="D1:I1"/>
    <mergeCell ref="D32:I32"/>
  </mergeCells>
  <phoneticPr fontId="37" type="noConversion"/>
  <pageMargins left="0.7" right="0.7" top="0.75" bottom="0.75" header="0.3" footer="0.3"/>
  <pageSetup paperSize="9" orientation="portrait" horizontalDpi="90" verticalDpi="90" r:id="rId1"/>
  <headerFooter>
    <oddHeader>&amp;C&amp;"Calibri"&amp;12&amp;K000000UNOFFICIAL&amp;1#</oddHeader>
    <oddFooter>&amp;C&amp;1#&amp;"Calibri"&amp;12&amp;K000000UNOFFICIAL</oddFooter>
  </headerFooter>
  <tableParts count="22">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0AD47-D111-4F35-8039-71410FDD94EA}">
  <dimension ref="A2:AE73"/>
  <sheetViews>
    <sheetView workbookViewId="0"/>
  </sheetViews>
  <sheetFormatPr defaultRowHeight="15" x14ac:dyDescent="0.25"/>
  <sheetData>
    <row r="2" spans="1:31" x14ac:dyDescent="0.25">
      <c r="D2" t="s">
        <v>290</v>
      </c>
    </row>
    <row r="3" spans="1:31" x14ac:dyDescent="0.25">
      <c r="P3" s="362" t="s">
        <v>336</v>
      </c>
      <c r="Q3" s="362"/>
      <c r="R3" s="362"/>
      <c r="S3" s="362"/>
      <c r="T3" s="362"/>
      <c r="V3" s="362" t="s">
        <v>83</v>
      </c>
      <c r="W3" s="362"/>
      <c r="X3" s="362"/>
      <c r="Y3" s="362"/>
      <c r="Z3" s="362"/>
      <c r="AA3" s="363" t="s">
        <v>337</v>
      </c>
      <c r="AB3" s="363"/>
      <c r="AC3" s="363"/>
      <c r="AD3" s="363"/>
      <c r="AE3" t="s">
        <v>341</v>
      </c>
    </row>
    <row r="4" spans="1:31" ht="45" x14ac:dyDescent="0.25">
      <c r="A4" s="4" t="s">
        <v>101</v>
      </c>
      <c r="B4" s="4"/>
      <c r="C4" s="4" t="s">
        <v>291</v>
      </c>
      <c r="D4" s="4" t="s">
        <v>292</v>
      </c>
      <c r="E4" s="4" t="s">
        <v>101</v>
      </c>
      <c r="F4" s="4" t="s">
        <v>293</v>
      </c>
      <c r="G4" s="4" t="s">
        <v>294</v>
      </c>
      <c r="H4" s="4" t="s">
        <v>110</v>
      </c>
      <c r="I4" s="4"/>
      <c r="J4" s="39" t="s">
        <v>295</v>
      </c>
      <c r="K4" s="4" t="s">
        <v>296</v>
      </c>
      <c r="L4" s="4" t="s">
        <v>297</v>
      </c>
      <c r="M4" s="4" t="s">
        <v>298</v>
      </c>
      <c r="N4" s="4" t="s">
        <v>299</v>
      </c>
      <c r="P4" s="39" t="s">
        <v>300</v>
      </c>
      <c r="Q4" s="4" t="s">
        <v>296</v>
      </c>
      <c r="R4" s="4" t="s">
        <v>297</v>
      </c>
      <c r="S4" s="4" t="s">
        <v>298</v>
      </c>
      <c r="T4" s="4" t="s">
        <v>299</v>
      </c>
      <c r="V4" s="39" t="s">
        <v>300</v>
      </c>
      <c r="W4" s="4" t="s">
        <v>296</v>
      </c>
      <c r="X4" s="4" t="s">
        <v>297</v>
      </c>
      <c r="Y4" s="4" t="s">
        <v>298</v>
      </c>
      <c r="Z4" s="4" t="s">
        <v>299</v>
      </c>
      <c r="AA4" s="4" t="s">
        <v>296</v>
      </c>
      <c r="AB4" s="4" t="s">
        <v>297</v>
      </c>
      <c r="AC4" s="4" t="s">
        <v>298</v>
      </c>
      <c r="AD4" s="4" t="s">
        <v>299</v>
      </c>
    </row>
    <row r="5" spans="1:31" x14ac:dyDescent="0.25">
      <c r="B5" t="s">
        <v>301</v>
      </c>
      <c r="H5">
        <f>'STEP 1 Benchmark'!L12</f>
        <v>150</v>
      </c>
      <c r="J5" t="s">
        <v>301</v>
      </c>
      <c r="K5" s="37">
        <v>0</v>
      </c>
      <c r="L5">
        <v>0</v>
      </c>
      <c r="M5">
        <v>0</v>
      </c>
      <c r="N5">
        <f>'STEP 1 Benchmark'!L12</f>
        <v>150</v>
      </c>
      <c r="P5" t="s">
        <v>301</v>
      </c>
      <c r="Q5" s="37">
        <v>0</v>
      </c>
      <c r="R5">
        <v>0</v>
      </c>
      <c r="S5">
        <v>0</v>
      </c>
      <c r="T5">
        <f>'STEP 1 Benchmark'!$L$12</f>
        <v>150</v>
      </c>
      <c r="V5" t="s">
        <v>145</v>
      </c>
      <c r="W5" s="37">
        <v>0</v>
      </c>
      <c r="X5">
        <v>0</v>
      </c>
      <c r="Y5">
        <v>0</v>
      </c>
      <c r="Z5">
        <v>0</v>
      </c>
      <c r="AA5" s="37">
        <v>0</v>
      </c>
      <c r="AB5">
        <v>0</v>
      </c>
      <c r="AC5">
        <v>0</v>
      </c>
      <c r="AD5">
        <f>'STEP 1 Benchmark'!$L$12</f>
        <v>150</v>
      </c>
    </row>
    <row r="6" spans="1:31" x14ac:dyDescent="0.25">
      <c r="B6">
        <v>1</v>
      </c>
      <c r="C6" s="1">
        <v>0.53722222222222216</v>
      </c>
      <c r="D6" s="1">
        <v>4.835</v>
      </c>
      <c r="E6" s="1">
        <v>10.744444444444445</v>
      </c>
      <c r="F6" s="1">
        <v>10.798166666666667</v>
      </c>
      <c r="G6" s="1">
        <v>8.971611111111109</v>
      </c>
      <c r="H6" s="1">
        <v>35.886444444444443</v>
      </c>
      <c r="J6" s="2" t="s">
        <v>302</v>
      </c>
      <c r="K6" s="37">
        <v>149.17692307695236</v>
      </c>
      <c r="L6" s="38">
        <f>K6*'STEP 1 Benchmark'!$L$11</f>
        <v>63.932967032979583</v>
      </c>
      <c r="M6" s="38">
        <f>K6*'STEP 1 Benchmark'!$L$11/'STEP 2 Detailed analysis'!$AF$23</f>
        <v>5.9827180159301996</v>
      </c>
      <c r="N6" cm="1">
        <f t="array" ref="N6">_xlfn.IFS('STEP 1 Benchmark'!$D$3='STEP 1 Benchmark'!$Q$5,'data for graph'!M6,'STEP 1 Benchmark'!$D$3='STEP 1 Benchmark'!$Q$7,'data for graph'!L6)</f>
        <v>63.932967032979583</v>
      </c>
      <c r="P6" s="364" t="s">
        <v>303</v>
      </c>
      <c r="Q6" s="37">
        <v>191.57088122605364</v>
      </c>
      <c r="R6" s="38">
        <f>Q6*'STEP 1 Benchmark'!$L$11</f>
        <v>82.101806239737272</v>
      </c>
      <c r="S6" s="38">
        <f>Q6*'STEP 1 Benchmark'!$L$11/'STEP 2 Detailed analysis'!$AF$23</f>
        <v>7.6829213178469749</v>
      </c>
      <c r="T6" cm="1">
        <f t="array" ref="T6">_xlfn.IFS('STEP 1 Benchmark'!$D$3='STEP 1 Benchmark'!$Q$5,'data for graph'!S6,'STEP 1 Benchmark'!$D$3='STEP 1 Benchmark'!$Q$7,'data for graph'!R6)</f>
        <v>82.101806239737272</v>
      </c>
      <c r="U6" t="s">
        <v>305</v>
      </c>
      <c r="V6" t="s">
        <v>145</v>
      </c>
      <c r="W6">
        <v>102.7777777777778</v>
      </c>
      <c r="X6" s="38">
        <f>W6*'STEP 1 Benchmark'!$L$11</f>
        <v>44.047619047619058</v>
      </c>
      <c r="Y6" s="38">
        <f>W6*'STEP 1 Benchmark'!$L$11/'STEP 2 Detailed analysis'!$AF$23</f>
        <v>4.1218872870249026</v>
      </c>
      <c r="Z6" cm="1">
        <f t="array" ref="Z6">_xlfn.IFS('STEP 1 Benchmark'!$D$3='STEP 1 Benchmark'!$Q$5,'data for graph'!Y6,'STEP 1 Benchmark'!$D$3='STEP 1 Benchmark'!$Q$7,'data for graph'!X6)</f>
        <v>44.047619047619058</v>
      </c>
      <c r="AA6">
        <v>292.89789789789791</v>
      </c>
      <c r="AB6" s="38">
        <f>AA6*'STEP 1 Benchmark'!$L$11</f>
        <v>125.52767052767052</v>
      </c>
      <c r="AC6" s="38">
        <f>AA6*'STEP 1 Benchmark'!$L$11/'STEP 2 Detailed analysis'!$AF$23</f>
        <v>11.746626049378344</v>
      </c>
      <c r="AD6" cm="1">
        <f t="array" ref="AD6">_xlfn.IFS('STEP 1 Benchmark'!$D$3='STEP 1 Benchmark'!$Q$5,'data for graph'!AC6,'STEP 1 Benchmark'!$D$3='STEP 1 Benchmark'!$Q$7,'data for graph'!AB6)</f>
        <v>125.52767052767052</v>
      </c>
      <c r="AE6">
        <f t="shared" ref="AE6:AE37" si="0">Z6+AD6</f>
        <v>169.57528957528959</v>
      </c>
    </row>
    <row r="7" spans="1:31" x14ac:dyDescent="0.25">
      <c r="B7">
        <v>2</v>
      </c>
      <c r="C7" s="1">
        <v>6.9444444444444455</v>
      </c>
      <c r="D7" s="1">
        <v>9.7222222222222232</v>
      </c>
      <c r="E7" s="1">
        <v>16.666666666666668</v>
      </c>
      <c r="F7" s="1">
        <v>9.7701149425287319</v>
      </c>
      <c r="G7" s="1">
        <v>4.7892720306513414</v>
      </c>
      <c r="H7" s="1">
        <v>47.892720306513404</v>
      </c>
      <c r="J7" s="2" t="s">
        <v>302</v>
      </c>
      <c r="K7" s="37">
        <v>185.00948766603415</v>
      </c>
      <c r="L7" s="38">
        <f>K7*'STEP 1 Benchmark'!$L$11</f>
        <v>79.289780428300347</v>
      </c>
      <c r="M7" s="38">
        <f>K7*'STEP 1 Benchmark'!$L$11/'STEP 2 Detailed analysis'!$AF$23</f>
        <v>7.4197776180611337</v>
      </c>
      <c r="N7" cm="1">
        <f t="array" ref="N7">_xlfn.IFS('STEP 1 Benchmark'!$D$3='STEP 1 Benchmark'!$Q$5,'data for graph'!M7,'STEP 1 Benchmark'!$D$3='STEP 1 Benchmark'!$Q$7,'data for graph'!L7)</f>
        <v>79.289780428300347</v>
      </c>
      <c r="P7" s="364"/>
      <c r="Q7" s="37">
        <v>200.61728395061729</v>
      </c>
      <c r="R7" s="38">
        <f>Q7*'STEP 1 Benchmark'!$L$11</f>
        <v>85.978835978835974</v>
      </c>
      <c r="S7" s="38">
        <f>Q7*'STEP 1 Benchmark'!$L$11/'STEP 2 Detailed analysis'!$AF$23</f>
        <v>8.0457259356341932</v>
      </c>
      <c r="T7" cm="1">
        <f t="array" ref="T7">_xlfn.IFS('STEP 1 Benchmark'!$D$3='STEP 1 Benchmark'!$Q$5,'data for graph'!S7,'STEP 1 Benchmark'!$D$3='STEP 1 Benchmark'!$Q$7,'data for graph'!R7)</f>
        <v>85.978835978835974</v>
      </c>
      <c r="V7" t="s">
        <v>145</v>
      </c>
      <c r="W7">
        <v>100</v>
      </c>
      <c r="X7" s="38">
        <f>W7*'STEP 1 Benchmark'!$L$11</f>
        <v>42.857142857142854</v>
      </c>
      <c r="Y7" s="38">
        <f>W7*'STEP 1 Benchmark'!$L$11/'STEP 2 Detailed analysis'!$AF$23</f>
        <v>4.0104849279161208</v>
      </c>
      <c r="Z7" cm="1">
        <f t="array" ref="Z7">_xlfn.IFS('STEP 1 Benchmark'!$D$3='STEP 1 Benchmark'!$Q$5,'data for graph'!Y7,'STEP 1 Benchmark'!$D$3='STEP 1 Benchmark'!$Q$7,'data for graph'!X7)</f>
        <v>42.857142857142854</v>
      </c>
      <c r="AA7">
        <v>316.66666666666663</v>
      </c>
      <c r="AB7" s="38">
        <f>AA7*'STEP 1 Benchmark'!$L$11</f>
        <v>135.71428571428569</v>
      </c>
      <c r="AC7" s="38">
        <f>AA7*'STEP 1 Benchmark'!$L$11/'STEP 2 Detailed analysis'!$AF$23</f>
        <v>12.699868938401048</v>
      </c>
      <c r="AD7" cm="1">
        <f t="array" ref="AD7">_xlfn.IFS('STEP 1 Benchmark'!$D$3='STEP 1 Benchmark'!$Q$5,'data for graph'!AC7,'STEP 1 Benchmark'!$D$3='STEP 1 Benchmark'!$Q$7,'data for graph'!AB7)</f>
        <v>135.71428571428569</v>
      </c>
      <c r="AE7">
        <f t="shared" si="0"/>
        <v>178.57142857142856</v>
      </c>
    </row>
    <row r="8" spans="1:31" x14ac:dyDescent="0.25">
      <c r="B8">
        <v>3</v>
      </c>
      <c r="C8" s="1">
        <v>11.055555555555555</v>
      </c>
      <c r="D8" s="1">
        <v>19.347222222222225</v>
      </c>
      <c r="E8" s="1">
        <v>8.2916666666666661</v>
      </c>
      <c r="F8" s="1">
        <v>8.3413874191651871</v>
      </c>
      <c r="G8" s="1">
        <v>2.6849206349206431</v>
      </c>
      <c r="H8" s="1">
        <v>49.720752498530274</v>
      </c>
      <c r="J8" s="2" t="s">
        <v>302</v>
      </c>
      <c r="K8" s="37">
        <v>185.55555555555554</v>
      </c>
      <c r="L8" s="38">
        <f>K8*'STEP 1 Benchmark'!$L$11</f>
        <v>79.523809523809518</v>
      </c>
      <c r="M8" s="38">
        <f>K8*'STEP 1 Benchmark'!$L$11/'STEP 2 Detailed analysis'!$AF$23</f>
        <v>7.4416775884665789</v>
      </c>
      <c r="N8" cm="1">
        <f t="array" ref="N8">_xlfn.IFS('STEP 1 Benchmark'!$D$3='STEP 1 Benchmark'!$Q$5,'data for graph'!M8,'STEP 1 Benchmark'!$D$3='STEP 1 Benchmark'!$Q$7,'data for graph'!L8)</f>
        <v>79.523809523809518</v>
      </c>
      <c r="P8" s="364"/>
      <c r="Q8" s="37">
        <v>263.15789473684208</v>
      </c>
      <c r="R8" s="38">
        <f>Q8*'STEP 1 Benchmark'!$L$11</f>
        <v>112.78195488721803</v>
      </c>
      <c r="S8" s="38">
        <f>Q8*'STEP 1 Benchmark'!$L$11/'STEP 2 Detailed analysis'!$AF$23</f>
        <v>10.553907705042421</v>
      </c>
      <c r="T8" cm="1">
        <f t="array" ref="T8">_xlfn.IFS('STEP 1 Benchmark'!$D$3='STEP 1 Benchmark'!$Q$5,'data for graph'!S8,'STEP 1 Benchmark'!$D$3='STEP 1 Benchmark'!$Q$7,'data for graph'!R8)</f>
        <v>112.78195488721803</v>
      </c>
      <c r="V8" t="s">
        <v>145</v>
      </c>
      <c r="W8">
        <v>17.078687402190923</v>
      </c>
      <c r="X8" s="38">
        <f>W8*'STEP 1 Benchmark'!$L$11</f>
        <v>7.3194374580818238</v>
      </c>
      <c r="Y8" s="38">
        <f>W8*'STEP 1 Benchmark'!$L$11/'STEP 2 Detailed analysis'!$AF$23</f>
        <v>0.68493818415077623</v>
      </c>
      <c r="Z8" cm="1">
        <f t="array" ref="Z8">_xlfn.IFS('STEP 1 Benchmark'!$D$3='STEP 1 Benchmark'!$Q$5,'data for graph'!Y8,'STEP 1 Benchmark'!$D$3='STEP 1 Benchmark'!$Q$7,'data for graph'!X8)</f>
        <v>7.3194374580818238</v>
      </c>
      <c r="AA8">
        <v>469.03242370892019</v>
      </c>
      <c r="AB8" s="38">
        <f>AA8*'STEP 1 Benchmark'!$L$11</f>
        <v>201.01389587525151</v>
      </c>
      <c r="AC8" s="38">
        <f>AA8*'STEP 1 Benchmark'!$L$11/'STEP 2 Detailed analysis'!$AF$23</f>
        <v>18.810474659885923</v>
      </c>
      <c r="AD8" cm="1">
        <f t="array" ref="AD8">_xlfn.IFS('STEP 1 Benchmark'!$D$3='STEP 1 Benchmark'!$Q$5,'data for graph'!AC8,'STEP 1 Benchmark'!$D$3='STEP 1 Benchmark'!$Q$7,'data for graph'!AB8)</f>
        <v>201.01389587525151</v>
      </c>
      <c r="AE8">
        <f t="shared" si="0"/>
        <v>208.33333333333334</v>
      </c>
    </row>
    <row r="9" spans="1:31" x14ac:dyDescent="0.25">
      <c r="B9">
        <v>4</v>
      </c>
      <c r="C9" s="1">
        <v>6.9444444444444455</v>
      </c>
      <c r="D9" s="1">
        <v>10.416666666666666</v>
      </c>
      <c r="E9" s="1">
        <v>17.361111111111111</v>
      </c>
      <c r="F9" s="1">
        <v>10.416666666666666</v>
      </c>
      <c r="G9" s="1">
        <v>5.0154320987654328</v>
      </c>
      <c r="H9" s="1">
        <v>50.154320987654316</v>
      </c>
      <c r="J9" s="2" t="s">
        <v>304</v>
      </c>
      <c r="K9" s="37">
        <v>191.57088122605364</v>
      </c>
      <c r="L9" s="38">
        <f>K9*'STEP 1 Benchmark'!$L$11</f>
        <v>82.101806239737272</v>
      </c>
      <c r="M9" s="38">
        <f>K9*'STEP 1 Benchmark'!$L$11/'STEP 2 Detailed analysis'!$AF$23</f>
        <v>7.6829213178469749</v>
      </c>
      <c r="N9" cm="1">
        <f t="array" ref="N9">_xlfn.IFS('STEP 1 Benchmark'!$D$3='STEP 1 Benchmark'!$Q$5,'data for graph'!M9,'STEP 1 Benchmark'!$D$3='STEP 1 Benchmark'!$Q$7,'data for graph'!L9)</f>
        <v>82.101806239737272</v>
      </c>
      <c r="P9" s="364"/>
      <c r="Q9" s="37">
        <v>333.33333333333331</v>
      </c>
      <c r="R9" s="38">
        <f>Q9*'STEP 1 Benchmark'!$L$11</f>
        <v>142.85714285714283</v>
      </c>
      <c r="S9" s="38">
        <f>Q9*'STEP 1 Benchmark'!$L$11/'STEP 2 Detailed analysis'!$AF$23</f>
        <v>13.368283093053734</v>
      </c>
      <c r="T9" cm="1">
        <f t="array" ref="T9">_xlfn.IFS('STEP 1 Benchmark'!$D$3='STEP 1 Benchmark'!$Q$5,'data for graph'!S9,'STEP 1 Benchmark'!$D$3='STEP 1 Benchmark'!$Q$7,'data for graph'!R9)</f>
        <v>142.85714285714283</v>
      </c>
      <c r="U9" t="s">
        <v>310</v>
      </c>
      <c r="V9" t="s">
        <v>145</v>
      </c>
      <c r="W9">
        <v>27.777777777777775</v>
      </c>
      <c r="X9" s="38">
        <f>W9*'STEP 1 Benchmark'!$L$11</f>
        <v>11.904761904761903</v>
      </c>
      <c r="Y9" s="38">
        <f>W9*'STEP 1 Benchmark'!$L$11/'STEP 2 Detailed analysis'!$AF$23</f>
        <v>1.1140235910878111</v>
      </c>
      <c r="Z9" cm="1">
        <f t="array" ref="Z9">_xlfn.IFS('STEP 1 Benchmark'!$D$3='STEP 1 Benchmark'!$Q$5,'data for graph'!Y9,'STEP 1 Benchmark'!$D$3='STEP 1 Benchmark'!$Q$7,'data for graph'!X9)</f>
        <v>11.904761904761903</v>
      </c>
      <c r="AA9">
        <v>218.07675996607298</v>
      </c>
      <c r="AB9" s="38">
        <f>AA9*'STEP 1 Benchmark'!$L$11</f>
        <v>93.46146855688842</v>
      </c>
      <c r="AC9" s="38">
        <f>AA9*'STEP 1 Benchmark'!$L$11/'STEP 2 Detailed analysis'!$AF$23</f>
        <v>8.7459355897271731</v>
      </c>
      <c r="AD9" cm="1">
        <f t="array" ref="AD9">_xlfn.IFS('STEP 1 Benchmark'!$D$3='STEP 1 Benchmark'!$Q$5,'data for graph'!AC9,'STEP 1 Benchmark'!$D$3='STEP 1 Benchmark'!$Q$7,'data for graph'!AB9)</f>
        <v>93.46146855688842</v>
      </c>
      <c r="AE9">
        <f t="shared" si="0"/>
        <v>105.36623046165032</v>
      </c>
    </row>
    <row r="10" spans="1:31" x14ac:dyDescent="0.25">
      <c r="B10">
        <v>5</v>
      </c>
      <c r="C10" s="1">
        <v>0.34319444444444452</v>
      </c>
      <c r="D10" s="1">
        <v>16.610611111111112</v>
      </c>
      <c r="E10" s="1">
        <v>14.414166666666667</v>
      </c>
      <c r="F10" s="1">
        <v>17.438993426632742</v>
      </c>
      <c r="G10" s="1">
        <v>5.4229961832061084</v>
      </c>
      <c r="H10" s="1">
        <v>54.229961832061079</v>
      </c>
      <c r="J10" s="2" t="s">
        <v>302</v>
      </c>
      <c r="K10" s="37">
        <v>199.39536100836028</v>
      </c>
      <c r="L10" s="38">
        <f>K10*'STEP 1 Benchmark'!$L$11</f>
        <v>85.455154717868695</v>
      </c>
      <c r="M10" s="38">
        <f>K10*'STEP 1 Benchmark'!$L$11/'STEP 2 Detailed analysis'!$AF$23</f>
        <v>7.9967209002042265</v>
      </c>
      <c r="N10" cm="1">
        <f t="array" ref="N10">_xlfn.IFS('STEP 1 Benchmark'!$D$3='STEP 1 Benchmark'!$Q$5,'data for graph'!M10,'STEP 1 Benchmark'!$D$3='STEP 1 Benchmark'!$Q$7,'data for graph'!L10)</f>
        <v>85.455154717868695</v>
      </c>
      <c r="P10" s="364"/>
      <c r="Q10" s="37">
        <v>358.1560283687943</v>
      </c>
      <c r="R10" s="38">
        <f>Q10*'STEP 1 Benchmark'!$L$11</f>
        <v>153.49544072948325</v>
      </c>
      <c r="S10" s="38">
        <f>Q10*'STEP 1 Benchmark'!$L$11/'STEP 2 Detailed analysis'!$AF$23</f>
        <v>14.36379353615348</v>
      </c>
      <c r="T10" cm="1">
        <f t="array" ref="T10">_xlfn.IFS('STEP 1 Benchmark'!$D$3='STEP 1 Benchmark'!$Q$5,'data for graph'!S10,'STEP 1 Benchmark'!$D$3='STEP 1 Benchmark'!$Q$7,'data for graph'!R10)</f>
        <v>153.49544072948325</v>
      </c>
      <c r="V10" t="s">
        <v>145</v>
      </c>
      <c r="W10">
        <v>55.555555555555557</v>
      </c>
      <c r="X10" s="38">
        <f>W10*'STEP 1 Benchmark'!$L$11</f>
        <v>23.80952380952381</v>
      </c>
      <c r="Y10" s="38">
        <f>W10*'STEP 1 Benchmark'!$L$11/'STEP 2 Detailed analysis'!$AF$23</f>
        <v>2.2280471821756227</v>
      </c>
      <c r="Z10" cm="1">
        <f t="array" ref="Z10">_xlfn.IFS('STEP 1 Benchmark'!$D$3='STEP 1 Benchmark'!$Q$5,'data for graph'!Y10,'STEP 1 Benchmark'!$D$3='STEP 1 Benchmark'!$Q$7,'data for graph'!X10)</f>
        <v>23.80952380952381</v>
      </c>
      <c r="AA10">
        <v>258.96057347670251</v>
      </c>
      <c r="AB10" s="38">
        <f>AA10*'STEP 1 Benchmark'!$L$11</f>
        <v>110.98310291858678</v>
      </c>
      <c r="AC10" s="38">
        <f>AA10*'STEP 1 Benchmark'!$L$11/'STEP 2 Detailed analysis'!$AF$23</f>
        <v>10.385574768528304</v>
      </c>
      <c r="AD10" cm="1">
        <f t="array" ref="AD10">_xlfn.IFS('STEP 1 Benchmark'!$D$3='STEP 1 Benchmark'!$Q$5,'data for graph'!AC10,'STEP 1 Benchmark'!$D$3='STEP 1 Benchmark'!$Q$7,'data for graph'!AB10)</f>
        <v>110.98310291858678</v>
      </c>
      <c r="AE10">
        <f t="shared" si="0"/>
        <v>134.79262672811058</v>
      </c>
    </row>
    <row r="11" spans="1:31" x14ac:dyDescent="0.25">
      <c r="B11">
        <v>6</v>
      </c>
      <c r="C11" s="1">
        <v>5.9227777777777773</v>
      </c>
      <c r="D11" s="1">
        <v>8.8841666666666654</v>
      </c>
      <c r="E11" s="1">
        <v>10.576388888888886</v>
      </c>
      <c r="F11" s="1">
        <v>33.125249999999994</v>
      </c>
      <c r="G11" s="1">
        <v>4.949749999999999</v>
      </c>
      <c r="H11" s="1">
        <v>63.458333333333321</v>
      </c>
      <c r="J11" s="2" t="s">
        <v>302</v>
      </c>
      <c r="K11" s="37">
        <v>199.48566941499809</v>
      </c>
      <c r="L11" s="38">
        <f>K11*'STEP 1 Benchmark'!$L$11</f>
        <v>85.493858320713457</v>
      </c>
      <c r="M11" s="38">
        <f>K11*'STEP 1 Benchmark'!$L$11/'STEP 2 Detailed analysis'!$AF$23</f>
        <v>8.000342705241076</v>
      </c>
      <c r="N11" cm="1">
        <f t="array" ref="N11">_xlfn.IFS('STEP 1 Benchmark'!$D$3='STEP 1 Benchmark'!$Q$5,'data for graph'!M11,'STEP 1 Benchmark'!$D$3='STEP 1 Benchmark'!$Q$7,'data for graph'!L11)</f>
        <v>85.493858320713457</v>
      </c>
      <c r="P11" s="364"/>
      <c r="Q11" s="37">
        <v>367.43092298647855</v>
      </c>
      <c r="R11" s="38">
        <f>Q11*'STEP 1 Benchmark'!$L$11</f>
        <v>157.47039556563365</v>
      </c>
      <c r="S11" s="38">
        <f>Q11*'STEP 1 Benchmark'!$L$11/'STEP 2 Detailed analysis'!$AF$23</f>
        <v>14.735761786875811</v>
      </c>
      <c r="T11" cm="1">
        <f t="array" ref="T11">_xlfn.IFS('STEP 1 Benchmark'!$D$3='STEP 1 Benchmark'!$Q$5,'data for graph'!S11,'STEP 1 Benchmark'!$D$3='STEP 1 Benchmark'!$Q$7,'data for graph'!R11)</f>
        <v>157.47039556563365</v>
      </c>
      <c r="V11" t="s">
        <v>145</v>
      </c>
      <c r="W11">
        <v>38.888888888888886</v>
      </c>
      <c r="X11" s="38">
        <f>W11*'STEP 1 Benchmark'!$L$11</f>
        <v>16.666666666666664</v>
      </c>
      <c r="Y11" s="38">
        <f>W11*'STEP 1 Benchmark'!$L$11/'STEP 2 Detailed analysis'!$AF$23</f>
        <v>1.5596330275229358</v>
      </c>
      <c r="Z11" cm="1">
        <f t="array" ref="Z11">_xlfn.IFS('STEP 1 Benchmark'!$D$3='STEP 1 Benchmark'!$Q$5,'data for graph'!Y11,'STEP 1 Benchmark'!$D$3='STEP 1 Benchmark'!$Q$7,'data for graph'!X11)</f>
        <v>16.666666666666664</v>
      </c>
      <c r="AA11">
        <v>318.88481888481891</v>
      </c>
      <c r="AB11" s="38">
        <f>AA11*'STEP 1 Benchmark'!$L$11</f>
        <v>136.66492237920809</v>
      </c>
      <c r="AC11" s="38">
        <f>AA11*'STEP 1 Benchmark'!$L$11/'STEP 2 Detailed analysis'!$AF$23</f>
        <v>12.788827598788281</v>
      </c>
      <c r="AD11" cm="1">
        <f t="array" ref="AD11">_xlfn.IFS('STEP 1 Benchmark'!$D$3='STEP 1 Benchmark'!$Q$5,'data for graph'!AC11,'STEP 1 Benchmark'!$D$3='STEP 1 Benchmark'!$Q$7,'data for graph'!AB11)</f>
        <v>136.66492237920809</v>
      </c>
      <c r="AE11">
        <f t="shared" si="0"/>
        <v>153.33158904587475</v>
      </c>
    </row>
    <row r="12" spans="1:31" x14ac:dyDescent="0.25">
      <c r="B12">
        <v>7</v>
      </c>
      <c r="C12" s="1">
        <v>6.9444444444444429</v>
      </c>
      <c r="D12" s="1">
        <v>18.749999999999996</v>
      </c>
      <c r="E12" s="1">
        <v>17.361111111111111</v>
      </c>
      <c r="F12" s="1">
        <v>17.129629629629637</v>
      </c>
      <c r="G12" s="1">
        <v>6.6872427983539104</v>
      </c>
      <c r="H12" s="1">
        <v>66.872427983539097</v>
      </c>
      <c r="J12" s="2" t="s">
        <v>302</v>
      </c>
      <c r="K12" s="37">
        <v>199.6376811591677</v>
      </c>
      <c r="L12" s="38">
        <f>K12*'STEP 1 Benchmark'!$L$11</f>
        <v>85.559006211071861</v>
      </c>
      <c r="M12" s="38">
        <f>K12*'STEP 1 Benchmark'!$L$11/'STEP 2 Detailed analysis'!$AF$23</f>
        <v>8.0064391133296606</v>
      </c>
      <c r="N12" cm="1">
        <f t="array" ref="N12">_xlfn.IFS('STEP 1 Benchmark'!$D$3='STEP 1 Benchmark'!$Q$5,'data for graph'!M12,'STEP 1 Benchmark'!$D$3='STEP 1 Benchmark'!$Q$7,'data for graph'!L12)</f>
        <v>85.559006211071861</v>
      </c>
      <c r="P12" s="364"/>
      <c r="Q12" s="37">
        <v>411.52263374485591</v>
      </c>
      <c r="R12" s="38">
        <f>Q12*'STEP 1 Benchmark'!$L$11</f>
        <v>176.36684303350967</v>
      </c>
      <c r="S12" s="38">
        <f>Q12*'STEP 1 Benchmark'!$L$11/'STEP 2 Detailed analysis'!$AF$23</f>
        <v>16.504053201300906</v>
      </c>
      <c r="T12" cm="1">
        <f t="array" ref="T12">_xlfn.IFS('STEP 1 Benchmark'!$D$3='STEP 1 Benchmark'!$Q$5,'data for graph'!S12,'STEP 1 Benchmark'!$D$3='STEP 1 Benchmark'!$Q$7,'data for graph'!R12)</f>
        <v>176.36684303350967</v>
      </c>
      <c r="V12" t="s">
        <v>145</v>
      </c>
      <c r="W12">
        <v>55.55555555555555</v>
      </c>
      <c r="X12" s="38">
        <f>W12*'STEP 1 Benchmark'!$L$11</f>
        <v>23.809523809523807</v>
      </c>
      <c r="Y12" s="38">
        <f>W12*'STEP 1 Benchmark'!$L$11/'STEP 2 Detailed analysis'!$AF$23</f>
        <v>2.2280471821756223</v>
      </c>
      <c r="Z12" cm="1">
        <f t="array" ref="Z12">_xlfn.IFS('STEP 1 Benchmark'!$D$3='STEP 1 Benchmark'!$Q$5,'data for graph'!Y12,'STEP 1 Benchmark'!$D$3='STEP 1 Benchmark'!$Q$7,'data for graph'!X12)</f>
        <v>23.809523809523807</v>
      </c>
      <c r="AA12">
        <v>309.02777777777783</v>
      </c>
      <c r="AB12" s="38">
        <f>AA12*'STEP 1 Benchmark'!$L$11</f>
        <v>132.4404761904762</v>
      </c>
      <c r="AC12" s="38">
        <f>AA12*'STEP 1 Benchmark'!$L$11/'STEP 2 Detailed analysis'!$AF$23</f>
        <v>12.393512450851903</v>
      </c>
      <c r="AD12" cm="1">
        <f t="array" ref="AD12">_xlfn.IFS('STEP 1 Benchmark'!$D$3='STEP 1 Benchmark'!$Q$5,'data for graph'!AC12,'STEP 1 Benchmark'!$D$3='STEP 1 Benchmark'!$Q$7,'data for graph'!AB12)</f>
        <v>132.4404761904762</v>
      </c>
      <c r="AE12">
        <f t="shared" si="0"/>
        <v>156.25</v>
      </c>
    </row>
    <row r="13" spans="1:31" x14ac:dyDescent="0.25">
      <c r="B13">
        <v>8</v>
      </c>
      <c r="C13" s="1">
        <v>10.277777777777777</v>
      </c>
      <c r="D13" s="1">
        <v>14.902777777777773</v>
      </c>
      <c r="E13" s="1">
        <v>12.84722222222222</v>
      </c>
      <c r="F13" s="1">
        <v>22.675347222222218</v>
      </c>
      <c r="G13" s="1">
        <v>6.7447916666666696</v>
      </c>
      <c r="H13" s="1">
        <v>67.447916666666657</v>
      </c>
      <c r="J13" s="2" t="s">
        <v>304</v>
      </c>
      <c r="K13" s="37">
        <v>200.61728395061729</v>
      </c>
      <c r="L13" s="38">
        <f>K13*'STEP 1 Benchmark'!$L$11</f>
        <v>85.978835978835974</v>
      </c>
      <c r="M13" s="38">
        <f>K13*'STEP 1 Benchmark'!$L$11/'STEP 2 Detailed analysis'!$AF$23</f>
        <v>8.0457259356341932</v>
      </c>
      <c r="N13" cm="1">
        <f t="array" ref="N13">_xlfn.IFS('STEP 1 Benchmark'!$D$3='STEP 1 Benchmark'!$Q$5,'data for graph'!M13,'STEP 1 Benchmark'!$D$3='STEP 1 Benchmark'!$Q$7,'data for graph'!L13)</f>
        <v>85.978835978835974</v>
      </c>
      <c r="P13" s="364" t="s">
        <v>305</v>
      </c>
      <c r="Q13" s="37">
        <v>395.67567567567573</v>
      </c>
      <c r="R13" s="38">
        <f>Q13*'STEP 1 Benchmark'!$L$11</f>
        <v>169.57528957528959</v>
      </c>
      <c r="S13" s="38">
        <f>Q13*'STEP 1 Benchmark'!$L$11/'STEP 2 Detailed analysis'!$AF$23</f>
        <v>15.868513336403247</v>
      </c>
      <c r="T13" cm="1">
        <f t="array" ref="T13">_xlfn.IFS('STEP 1 Benchmark'!$D$3='STEP 1 Benchmark'!$Q$5,'data for graph'!S13,'STEP 1 Benchmark'!$D$3='STEP 1 Benchmark'!$Q$7,'data for graph'!R13)</f>
        <v>169.57528957528959</v>
      </c>
      <c r="V13" t="s">
        <v>145</v>
      </c>
      <c r="W13">
        <v>55.55555555555555</v>
      </c>
      <c r="X13" s="38">
        <f>W13*'STEP 1 Benchmark'!$L$11</f>
        <v>23.809523809523807</v>
      </c>
      <c r="Y13" s="38">
        <f>W13*'STEP 1 Benchmark'!$L$11/'STEP 2 Detailed analysis'!$AF$23</f>
        <v>2.2280471821756223</v>
      </c>
      <c r="Z13" cm="1">
        <f t="array" ref="Z13">_xlfn.IFS('STEP 1 Benchmark'!$D$3='STEP 1 Benchmark'!$Q$5,'data for graph'!Y13,'STEP 1 Benchmark'!$D$3='STEP 1 Benchmark'!$Q$7,'data for graph'!X13)</f>
        <v>23.809523809523807</v>
      </c>
      <c r="AA13">
        <v>377.77777777777771</v>
      </c>
      <c r="AB13" s="38">
        <f>AA13*'STEP 1 Benchmark'!$L$11</f>
        <v>161.90476190476187</v>
      </c>
      <c r="AC13" s="38">
        <f>AA13*'STEP 1 Benchmark'!$L$11/'STEP 2 Detailed analysis'!$AF$23</f>
        <v>15.15072083879423</v>
      </c>
      <c r="AD13" cm="1">
        <f t="array" ref="AD13">_xlfn.IFS('STEP 1 Benchmark'!$D$3='STEP 1 Benchmark'!$Q$5,'data for graph'!AC13,'STEP 1 Benchmark'!$D$3='STEP 1 Benchmark'!$Q$7,'data for graph'!AB13)</f>
        <v>161.90476190476187</v>
      </c>
      <c r="AE13">
        <f t="shared" si="0"/>
        <v>185.71428571428567</v>
      </c>
    </row>
    <row r="14" spans="1:31" x14ac:dyDescent="0.25">
      <c r="B14">
        <v>9</v>
      </c>
      <c r="C14" s="1">
        <v>17.361111111111111</v>
      </c>
      <c r="D14" s="1">
        <v>9.7222222222222214</v>
      </c>
      <c r="E14" s="1">
        <v>17.361111111111111</v>
      </c>
      <c r="F14" s="1">
        <v>24.999999999999996</v>
      </c>
      <c r="G14" s="1">
        <v>7.7160493827160499</v>
      </c>
      <c r="H14" s="1">
        <v>77.160493827160494</v>
      </c>
      <c r="J14" s="2" t="s">
        <v>302</v>
      </c>
      <c r="K14" s="37">
        <v>201.66536559979181</v>
      </c>
      <c r="L14" s="38">
        <f>K14*'STEP 1 Benchmark'!$L$11</f>
        <v>86.428013828482207</v>
      </c>
      <c r="M14" s="38">
        <f>K14*'STEP 1 Benchmark'!$L$11/'STEP 2 Detailed analysis'!$AF$23</f>
        <v>8.0877590922065927</v>
      </c>
      <c r="N14" cm="1">
        <f t="array" ref="N14">_xlfn.IFS('STEP 1 Benchmark'!$D$3='STEP 1 Benchmark'!$Q$5,'data for graph'!M14,'STEP 1 Benchmark'!$D$3='STEP 1 Benchmark'!$Q$7,'data for graph'!L14)</f>
        <v>86.428013828482207</v>
      </c>
      <c r="P14" s="364"/>
      <c r="Q14" s="37">
        <v>416.66666666666663</v>
      </c>
      <c r="R14" s="38">
        <f>Q14*'STEP 1 Benchmark'!$L$11</f>
        <v>178.57142857142856</v>
      </c>
      <c r="S14" s="38">
        <f>Q14*'STEP 1 Benchmark'!$L$11/'STEP 2 Detailed analysis'!$AF$23</f>
        <v>16.710353866317167</v>
      </c>
      <c r="T14" cm="1">
        <f t="array" ref="T14">_xlfn.IFS('STEP 1 Benchmark'!$D$3='STEP 1 Benchmark'!$Q$5,'data for graph'!S14,'STEP 1 Benchmark'!$D$3='STEP 1 Benchmark'!$Q$7,'data for graph'!R14)</f>
        <v>178.57142857142856</v>
      </c>
      <c r="U14" t="s">
        <v>302</v>
      </c>
      <c r="V14" t="s">
        <v>145</v>
      </c>
      <c r="W14">
        <v>18.888888888888886</v>
      </c>
      <c r="X14" s="38">
        <f>W14*'STEP 1 Benchmark'!$L$11</f>
        <v>8.0952380952380931</v>
      </c>
      <c r="Y14" s="38">
        <f>W14*'STEP 1 Benchmark'!$L$11/'STEP 2 Detailed analysis'!$AF$23</f>
        <v>0.75753604193971147</v>
      </c>
      <c r="Z14" cm="1">
        <f t="array" ref="Z14">_xlfn.IFS('STEP 1 Benchmark'!$D$3='STEP 1 Benchmark'!$Q$5,'data for graph'!Y14,'STEP 1 Benchmark'!$D$3='STEP 1 Benchmark'!$Q$7,'data for graph'!X14)</f>
        <v>8.0952380952380931</v>
      </c>
      <c r="AA14">
        <v>104.71533185610187</v>
      </c>
      <c r="AB14" s="38">
        <f>AA14*'STEP 1 Benchmark'!$L$11</f>
        <v>44.877999366900802</v>
      </c>
      <c r="AC14" s="38">
        <f>AA14*'STEP 1 Benchmark'!$L$11/'STEP 2 Detailed analysis'!$AF$23</f>
        <v>4.1995926013063141</v>
      </c>
      <c r="AD14" cm="1">
        <f t="array" ref="AD14">_xlfn.IFS('STEP 1 Benchmark'!$D$3='STEP 1 Benchmark'!$Q$5,'data for graph'!AC14,'STEP 1 Benchmark'!$D$3='STEP 1 Benchmark'!$Q$7,'data for graph'!AB14)</f>
        <v>44.877999366900802</v>
      </c>
      <c r="AE14">
        <f t="shared" si="0"/>
        <v>52.973237462138897</v>
      </c>
    </row>
    <row r="15" spans="1:31" x14ac:dyDescent="0.25">
      <c r="B15">
        <v>10</v>
      </c>
      <c r="C15" s="1">
        <v>9.1666666666666661</v>
      </c>
      <c r="D15" s="1">
        <v>16.041666666666661</v>
      </c>
      <c r="E15" s="1">
        <v>9.1666666666666661</v>
      </c>
      <c r="F15" s="1">
        <v>38.605769230769234</v>
      </c>
      <c r="G15" s="1">
        <v>8.1089743589743613</v>
      </c>
      <c r="H15" s="1">
        <v>81.089743589743591</v>
      </c>
      <c r="J15" s="2" t="s">
        <v>302</v>
      </c>
      <c r="K15" s="37">
        <v>203.53982300884954</v>
      </c>
      <c r="L15" s="38">
        <f>K15*'STEP 1 Benchmark'!$L$11</f>
        <v>87.231352718078369</v>
      </c>
      <c r="M15" s="38">
        <f>K15*'STEP 1 Benchmark'!$L$11/'STEP 2 Detailed analysis'!$AF$23</f>
        <v>8.1629339240770591</v>
      </c>
      <c r="N15" cm="1">
        <f t="array" ref="N15">_xlfn.IFS('STEP 1 Benchmark'!$D$3='STEP 1 Benchmark'!$Q$5,'data for graph'!M15,'STEP 1 Benchmark'!$D$3='STEP 1 Benchmark'!$Q$7,'data for graph'!L15)</f>
        <v>87.231352718078369</v>
      </c>
      <c r="P15" s="364"/>
      <c r="Q15" s="37">
        <v>486.11111111111109</v>
      </c>
      <c r="R15" s="38">
        <f>Q15*'STEP 1 Benchmark'!$L$11</f>
        <v>208.33333333333331</v>
      </c>
      <c r="S15" s="38">
        <f>Q15*'STEP 1 Benchmark'!$L$11/'STEP 2 Detailed analysis'!$AF$23</f>
        <v>19.495412844036696</v>
      </c>
      <c r="T15" cm="1">
        <f t="array" ref="T15">_xlfn.IFS('STEP 1 Benchmark'!$D$3='STEP 1 Benchmark'!$Q$5,'data for graph'!S15,'STEP 1 Benchmark'!$D$3='STEP 1 Benchmark'!$Q$7,'data for graph'!R15)</f>
        <v>208.33333333333331</v>
      </c>
      <c r="V15" t="s">
        <v>145</v>
      </c>
      <c r="W15">
        <v>18.888888888888886</v>
      </c>
      <c r="X15" s="38">
        <f>W15*'STEP 1 Benchmark'!$L$11</f>
        <v>8.0952380952380931</v>
      </c>
      <c r="Y15" s="38">
        <f>W15*'STEP 1 Benchmark'!$L$11/'STEP 2 Detailed analysis'!$AF$23</f>
        <v>0.75753604193971147</v>
      </c>
      <c r="Z15" cm="1">
        <f t="array" ref="Z15">_xlfn.IFS('STEP 1 Benchmark'!$D$3='STEP 1 Benchmark'!$Q$5,'data for graph'!Y15,'STEP 1 Benchmark'!$D$3='STEP 1 Benchmark'!$Q$7,'data for graph'!X15)</f>
        <v>8.0952380952380931</v>
      </c>
      <c r="AA15">
        <v>145.19323671472324</v>
      </c>
      <c r="AB15" s="38">
        <f>AA15*'STEP 1 Benchmark'!$L$11</f>
        <v>62.225672877738532</v>
      </c>
      <c r="AC15" s="38">
        <f>AA15*'STEP 1 Benchmark'!$L$11/'STEP 2 Detailed analysis'!$AF$23</f>
        <v>5.8229528747975507</v>
      </c>
      <c r="AD15" cm="1">
        <f t="array" ref="AD15">_xlfn.IFS('STEP 1 Benchmark'!$D$3='STEP 1 Benchmark'!$Q$5,'data for graph'!AC15,'STEP 1 Benchmark'!$D$3='STEP 1 Benchmark'!$Q$7,'data for graph'!AB15)</f>
        <v>62.225672877738532</v>
      </c>
      <c r="AE15">
        <f t="shared" si="0"/>
        <v>70.32091097297662</v>
      </c>
    </row>
    <row r="16" spans="1:31" x14ac:dyDescent="0.25">
      <c r="B16">
        <v>11</v>
      </c>
      <c r="C16" s="1">
        <v>6.9444444444444446</v>
      </c>
      <c r="D16" s="1">
        <v>7.6388888888888884</v>
      </c>
      <c r="E16" s="1">
        <v>38.888888888888893</v>
      </c>
      <c r="F16" s="1">
        <v>20.601851851851858</v>
      </c>
      <c r="G16" s="1">
        <v>8.2304526748971139</v>
      </c>
      <c r="H16" s="1">
        <v>82.304526748971199</v>
      </c>
      <c r="J16" s="2" t="s">
        <v>302</v>
      </c>
      <c r="K16" s="37">
        <v>208.72540633019676</v>
      </c>
      <c r="L16" s="38">
        <f>K16*'STEP 1 Benchmark'!$L$11</f>
        <v>89.453745570084322</v>
      </c>
      <c r="M16" s="38">
        <f>K16*'STEP 1 Benchmark'!$L$11/'STEP 2 Detailed analysis'!$AF$23</f>
        <v>8.3709009616042209</v>
      </c>
      <c r="N16" cm="1">
        <f t="array" ref="N16">_xlfn.IFS('STEP 1 Benchmark'!$D$3='STEP 1 Benchmark'!$Q$5,'data for graph'!M16,'STEP 1 Benchmark'!$D$3='STEP 1 Benchmark'!$Q$7,'data for graph'!L16)</f>
        <v>89.453745570084322</v>
      </c>
      <c r="P16" s="364" t="s">
        <v>306</v>
      </c>
      <c r="Q16" s="37">
        <v>267.48971193415639</v>
      </c>
      <c r="R16" s="38">
        <f>Q16*'STEP 1 Benchmark'!$L$11</f>
        <v>114.6384479717813</v>
      </c>
      <c r="S16" s="38">
        <f>Q16*'STEP 1 Benchmark'!$L$11/'STEP 2 Detailed analysis'!$AF$23</f>
        <v>10.72763458084559</v>
      </c>
      <c r="T16" cm="1">
        <f t="array" ref="T16">_xlfn.IFS('STEP 1 Benchmark'!$D$3='STEP 1 Benchmark'!$Q$5,'data for graph'!S16,'STEP 1 Benchmark'!$D$3='STEP 1 Benchmark'!$Q$7,'data for graph'!R16)</f>
        <v>114.6384479717813</v>
      </c>
      <c r="V16" t="s">
        <v>145</v>
      </c>
      <c r="W16">
        <v>2.7777777777777777</v>
      </c>
      <c r="X16" s="38">
        <f>W16*'STEP 1 Benchmark'!$L$11</f>
        <v>1.1904761904761905</v>
      </c>
      <c r="Y16" s="38">
        <f>W16*'STEP 1 Benchmark'!$L$11/'STEP 2 Detailed analysis'!$AF$23</f>
        <v>0.11140235910878113</v>
      </c>
      <c r="Z16" cm="1">
        <f t="array" ref="Z16">_xlfn.IFS('STEP 1 Benchmark'!$D$3='STEP 1 Benchmark'!$Q$5,'data for graph'!Y16,'STEP 1 Benchmark'!$D$3='STEP 1 Benchmark'!$Q$7,'data for graph'!X16)</f>
        <v>1.1904761904761905</v>
      </c>
      <c r="AA16">
        <v>166.12059877714529</v>
      </c>
      <c r="AB16" s="38">
        <f>AA16*'STEP 1 Benchmark'!$L$11</f>
        <v>71.194542333062259</v>
      </c>
      <c r="AC16" s="38">
        <f>AA16*'STEP 1 Benchmark'!$L$11/'STEP 2 Detailed analysis'!$AF$23</f>
        <v>6.6622415761214224</v>
      </c>
      <c r="AD16" cm="1">
        <f t="array" ref="AD16">_xlfn.IFS('STEP 1 Benchmark'!$D$3='STEP 1 Benchmark'!$Q$5,'data for graph'!AC16,'STEP 1 Benchmark'!$D$3='STEP 1 Benchmark'!$Q$7,'data for graph'!AB16)</f>
        <v>71.194542333062259</v>
      </c>
      <c r="AE16">
        <f t="shared" si="0"/>
        <v>72.385018523538449</v>
      </c>
    </row>
    <row r="17" spans="2:31" x14ac:dyDescent="0.25">
      <c r="B17">
        <v>12</v>
      </c>
      <c r="C17" s="1">
        <v>21.532631230116639</v>
      </c>
      <c r="D17" s="1">
        <v>6.2166790164369008</v>
      </c>
      <c r="E17" s="1">
        <v>15.91793975344644</v>
      </c>
      <c r="F17" s="1">
        <v>34.136684878587211</v>
      </c>
      <c r="G17" s="1">
        <v>4.9662086092715221</v>
      </c>
      <c r="H17" s="1">
        <v>82.770143487858718</v>
      </c>
      <c r="J17" s="2" t="s">
        <v>307</v>
      </c>
      <c r="K17" s="37">
        <v>209.02777777777777</v>
      </c>
      <c r="L17" s="38">
        <f>K17*'STEP 1 Benchmark'!$L$11</f>
        <v>89.583333333333329</v>
      </c>
      <c r="M17" s="38">
        <f>K17*'STEP 1 Benchmark'!$L$11/'STEP 2 Detailed analysis'!$AF$23</f>
        <v>8.3830275229357802</v>
      </c>
      <c r="N17" cm="1">
        <f t="array" ref="N17">_xlfn.IFS('STEP 1 Benchmark'!$D$3='STEP 1 Benchmark'!$Q$5,'data for graph'!M17,'STEP 1 Benchmark'!$D$3='STEP 1 Benchmark'!$Q$7,'data for graph'!L17)</f>
        <v>89.583333333333329</v>
      </c>
      <c r="P17" s="364"/>
      <c r="Q17" s="37">
        <v>308.64197530864197</v>
      </c>
      <c r="R17" s="38">
        <f>Q17*'STEP 1 Benchmark'!$L$11</f>
        <v>132.27513227513228</v>
      </c>
      <c r="S17" s="38">
        <f>Q17*'STEP 1 Benchmark'!$L$11/'STEP 2 Detailed analysis'!$AF$23</f>
        <v>12.378039900975683</v>
      </c>
      <c r="T17" cm="1">
        <f t="array" ref="T17">_xlfn.IFS('STEP 1 Benchmark'!$D$3='STEP 1 Benchmark'!$Q$5,'data for graph'!S17,'STEP 1 Benchmark'!$D$3='STEP 1 Benchmark'!$Q$7,'data for graph'!R17)</f>
        <v>132.27513227513228</v>
      </c>
      <c r="V17" t="s">
        <v>145</v>
      </c>
      <c r="W17">
        <v>52.737773806533326</v>
      </c>
      <c r="X17" s="38">
        <f>W17*'STEP 1 Benchmark'!$L$11</f>
        <v>22.601903059942853</v>
      </c>
      <c r="Y17" s="38">
        <f>W17*'STEP 1 Benchmark'!$L$11/'STEP 2 Detailed analysis'!$AF$23</f>
        <v>2.1150404698295149</v>
      </c>
      <c r="Z17" cm="1">
        <f t="array" ref="Z17">_xlfn.IFS('STEP 1 Benchmark'!$D$3='STEP 1 Benchmark'!$Q$5,'data for graph'!Y17,'STEP 1 Benchmark'!$D$3='STEP 1 Benchmark'!$Q$7,'data for graph'!X17)</f>
        <v>22.601903059942853</v>
      </c>
      <c r="AA17">
        <v>146.62345436962514</v>
      </c>
      <c r="AB17" s="38">
        <f>AA17*'STEP 1 Benchmark'!$L$11</f>
        <v>62.838623301267916</v>
      </c>
      <c r="AC17" s="38">
        <f>AA17*'STEP 1 Benchmark'!$L$11/'STEP 2 Detailed analysis'!$AF$23</f>
        <v>5.8803115382837872</v>
      </c>
      <c r="AD17" cm="1">
        <f t="array" ref="AD17">_xlfn.IFS('STEP 1 Benchmark'!$D$3='STEP 1 Benchmark'!$Q$5,'data for graph'!AC17,'STEP 1 Benchmark'!$D$3='STEP 1 Benchmark'!$Q$7,'data for graph'!AB17)</f>
        <v>62.838623301267916</v>
      </c>
      <c r="AE17">
        <f t="shared" si="0"/>
        <v>85.440526361210772</v>
      </c>
    </row>
    <row r="18" spans="2:31" x14ac:dyDescent="0.25">
      <c r="B18">
        <v>13</v>
      </c>
      <c r="C18" s="1">
        <v>8.2918739635157532</v>
      </c>
      <c r="D18" s="1">
        <v>26.533996683250411</v>
      </c>
      <c r="E18" s="1">
        <v>20.729684908789384</v>
      </c>
      <c r="F18" s="1">
        <v>19.444444444444443</v>
      </c>
      <c r="G18" s="1">
        <v>8.3333333333333339</v>
      </c>
      <c r="H18" s="1">
        <v>83.333333333333314</v>
      </c>
      <c r="J18" s="2" t="s">
        <v>308</v>
      </c>
      <c r="K18" s="37">
        <v>219.46564885496184</v>
      </c>
      <c r="L18" s="38">
        <f>K18*'STEP 1 Benchmark'!$L$11</f>
        <v>94.056706652126493</v>
      </c>
      <c r="M18" s="38">
        <f>K18*'STEP 1 Benchmark'!$L$11/'STEP 2 Detailed analysis'!$AF$23</f>
        <v>8.8016367692815631</v>
      </c>
      <c r="N18" cm="1">
        <f t="array" ref="N18">_xlfn.IFS('STEP 1 Benchmark'!$D$3='STEP 1 Benchmark'!$Q$5,'data for graph'!M18,'STEP 1 Benchmark'!$D$3='STEP 1 Benchmark'!$Q$7,'data for graph'!L18)</f>
        <v>94.056706652126493</v>
      </c>
      <c r="P18" s="364" t="s">
        <v>309</v>
      </c>
      <c r="Q18" s="37">
        <v>329.2181069958848</v>
      </c>
      <c r="R18" s="38">
        <f>Q18*'STEP 1 Benchmark'!$L$11</f>
        <v>141.09347442680777</v>
      </c>
      <c r="S18" s="38">
        <f>Q18*'STEP 1 Benchmark'!$L$11/'STEP 2 Detailed analysis'!$AF$23</f>
        <v>13.203242561040728</v>
      </c>
      <c r="T18" cm="1">
        <f t="array" ref="T18">_xlfn.IFS('STEP 1 Benchmark'!$D$3='STEP 1 Benchmark'!$Q$5,'data for graph'!S18,'STEP 1 Benchmark'!$D$3='STEP 1 Benchmark'!$Q$7,'data for graph'!R18)</f>
        <v>141.09347442680777</v>
      </c>
      <c r="V18" t="s">
        <v>145</v>
      </c>
      <c r="W18">
        <v>54.44444444444445</v>
      </c>
      <c r="X18" s="38">
        <f>W18*'STEP 1 Benchmark'!$L$11</f>
        <v>23.333333333333336</v>
      </c>
      <c r="Y18" s="38">
        <f>W18*'STEP 1 Benchmark'!$L$11/'STEP 2 Detailed analysis'!$AF$23</f>
        <v>2.1834862385321103</v>
      </c>
      <c r="Z18" cm="1">
        <f t="array" ref="Z18">_xlfn.IFS('STEP 1 Benchmark'!$D$3='STEP 1 Benchmark'!$Q$5,'data for graph'!Y18,'STEP 1 Benchmark'!$D$3='STEP 1 Benchmark'!$Q$7,'data for graph'!X18)</f>
        <v>23.333333333333336</v>
      </c>
      <c r="AA18">
        <v>146.74789560846472</v>
      </c>
      <c r="AB18" s="38">
        <f>AA18*'STEP 1 Benchmark'!$L$11</f>
        <v>62.891955260770587</v>
      </c>
      <c r="AC18" s="38">
        <f>AA18*'STEP 1 Benchmark'!$L$11/'STEP 2 Detailed analysis'!$AF$23</f>
        <v>5.8853022354115598</v>
      </c>
      <c r="AD18" cm="1">
        <f t="array" ref="AD18">_xlfn.IFS('STEP 1 Benchmark'!$D$3='STEP 1 Benchmark'!$Q$5,'data for graph'!AC18,'STEP 1 Benchmark'!$D$3='STEP 1 Benchmark'!$Q$7,'data for graph'!AB18)</f>
        <v>62.891955260770587</v>
      </c>
      <c r="AE18">
        <f t="shared" si="0"/>
        <v>86.225288594103915</v>
      </c>
    </row>
    <row r="19" spans="2:31" x14ac:dyDescent="0.25">
      <c r="B19">
        <v>14</v>
      </c>
      <c r="C19" s="1">
        <v>10.666666666666668</v>
      </c>
      <c r="D19" s="1">
        <v>11.200000000000001</v>
      </c>
      <c r="E19" s="1">
        <v>16</v>
      </c>
      <c r="F19" s="1">
        <v>37.243357783211081</v>
      </c>
      <c r="G19" s="1">
        <v>8.3455582722086366</v>
      </c>
      <c r="H19" s="1">
        <v>83.45558272208639</v>
      </c>
      <c r="J19" s="2" t="s">
        <v>302</v>
      </c>
      <c r="K19" s="37">
        <v>221.3004484305618</v>
      </c>
      <c r="L19" s="38">
        <f>K19*'STEP 1 Benchmark'!$L$11</f>
        <v>94.843049327383625</v>
      </c>
      <c r="M19" s="38">
        <f>K19*'STEP 1 Benchmark'!$L$11/'STEP 2 Detailed analysis'!$AF$23</f>
        <v>8.8752211297184687</v>
      </c>
      <c r="N19" cm="1">
        <f t="array" ref="N19">_xlfn.IFS('STEP 1 Benchmark'!$D$3='STEP 1 Benchmark'!$Q$5,'data for graph'!M19,'STEP 1 Benchmark'!$D$3='STEP 1 Benchmark'!$Q$7,'data for graph'!L19)</f>
        <v>94.843049327383625</v>
      </c>
      <c r="P19" s="364"/>
      <c r="Q19" s="37">
        <v>410.35353535353534</v>
      </c>
      <c r="R19" s="38">
        <f>Q19*'STEP 1 Benchmark'!$L$11</f>
        <v>175.86580086580085</v>
      </c>
      <c r="S19" s="38">
        <f>Q19*'STEP 1 Benchmark'!$L$11/'STEP 2 Detailed analysis'!$AF$23</f>
        <v>16.457166686524484</v>
      </c>
      <c r="T19" cm="1">
        <f t="array" ref="T19">_xlfn.IFS('STEP 1 Benchmark'!$D$3='STEP 1 Benchmark'!$Q$5,'data for graph'!S19,'STEP 1 Benchmark'!$D$3='STEP 1 Benchmark'!$Q$7,'data for graph'!R19)</f>
        <v>175.86580086580085</v>
      </c>
      <c r="V19" t="s">
        <v>145</v>
      </c>
      <c r="W19">
        <v>52.806533868014995</v>
      </c>
      <c r="X19" s="38">
        <f>W19*'STEP 1 Benchmark'!$L$11</f>
        <v>22.63137165772071</v>
      </c>
      <c r="Y19" s="38">
        <f>W19*'STEP 1 Benchmark'!$L$11/'STEP 2 Detailed analysis'!$AF$23</f>
        <v>2.1177980817316628</v>
      </c>
      <c r="Z19" cm="1">
        <f t="array" ref="Z19">_xlfn.IFS('STEP 1 Benchmark'!$D$3='STEP 1 Benchmark'!$Q$5,'data for graph'!Y19,'STEP 1 Benchmark'!$D$3='STEP 1 Benchmark'!$Q$7,'data for graph'!X19)</f>
        <v>22.63137165772071</v>
      </c>
      <c r="AA19">
        <v>150.74981940929101</v>
      </c>
      <c r="AB19" s="38">
        <f>AA19*'STEP 1 Benchmark'!$L$11</f>
        <v>64.607065461124719</v>
      </c>
      <c r="AC19" s="38">
        <f>AA19*'STEP 1 Benchmark'!$L$11/'STEP 2 Detailed analysis'!$AF$23</f>
        <v>6.045798786270387</v>
      </c>
      <c r="AD19" cm="1">
        <f t="array" ref="AD19">_xlfn.IFS('STEP 1 Benchmark'!$D$3='STEP 1 Benchmark'!$Q$5,'data for graph'!AC19,'STEP 1 Benchmark'!$D$3='STEP 1 Benchmark'!$Q$7,'data for graph'!AB19)</f>
        <v>64.607065461124719</v>
      </c>
      <c r="AE19">
        <f t="shared" si="0"/>
        <v>87.238437118845425</v>
      </c>
    </row>
    <row r="20" spans="2:31" x14ac:dyDescent="0.25">
      <c r="B20">
        <v>15</v>
      </c>
      <c r="C20" s="1">
        <v>6.9444444444444446</v>
      </c>
      <c r="D20" s="1">
        <v>13.888888888888889</v>
      </c>
      <c r="E20" s="1">
        <v>39.583333333333329</v>
      </c>
      <c r="F20" s="1">
        <v>14.980158730158731</v>
      </c>
      <c r="G20" s="1">
        <v>8.3774250440917086</v>
      </c>
      <c r="H20" s="1">
        <v>83.7742504409171</v>
      </c>
      <c r="J20" s="2" t="s">
        <v>302</v>
      </c>
      <c r="K20" s="37">
        <v>249.8530276308054</v>
      </c>
      <c r="L20" s="38">
        <f>K20*'STEP 1 Benchmark'!$L$11</f>
        <v>107.07986898463088</v>
      </c>
      <c r="M20" s="38">
        <f>K20*'STEP 1 Benchmark'!$L$11/'STEP 2 Detailed analysis'!$AF$23</f>
        <v>10.020318015075551</v>
      </c>
      <c r="N20" cm="1">
        <f t="array" ref="N20">_xlfn.IFS('STEP 1 Benchmark'!$D$3='STEP 1 Benchmark'!$Q$5,'data for graph'!M20,'STEP 1 Benchmark'!$D$3='STEP 1 Benchmark'!$Q$7,'data for graph'!L20)</f>
        <v>107.07986898463088</v>
      </c>
      <c r="P20" s="364"/>
      <c r="Q20" s="37">
        <v>418.70915032679733</v>
      </c>
      <c r="R20" s="38">
        <f>Q20*'STEP 1 Benchmark'!$L$11</f>
        <v>179.44677871148457</v>
      </c>
      <c r="S20" s="38">
        <f>Q20*'STEP 1 Benchmark'!$L$11/'STEP 2 Detailed analysis'!$AF$23</f>
        <v>16.792267365661861</v>
      </c>
      <c r="T20" cm="1">
        <f t="array" ref="T20">_xlfn.IFS('STEP 1 Benchmark'!$D$3='STEP 1 Benchmark'!$Q$5,'data for graph'!S20,'STEP 1 Benchmark'!$D$3='STEP 1 Benchmark'!$Q$7,'data for graph'!R20)</f>
        <v>179.44677871148457</v>
      </c>
      <c r="V20" t="s">
        <v>145</v>
      </c>
      <c r="W20">
        <v>52.763123952389819</v>
      </c>
      <c r="X20" s="38">
        <f>W20*'STEP 1 Benchmark'!$L$11</f>
        <v>22.612767408167063</v>
      </c>
      <c r="Y20" s="38">
        <f>W20*'STEP 1 Benchmark'!$L$11/'STEP 2 Detailed analysis'!$AF$23</f>
        <v>2.1160571336082943</v>
      </c>
      <c r="Z20" cm="1">
        <f t="array" ref="Z20">_xlfn.IFS('STEP 1 Benchmark'!$D$3='STEP 1 Benchmark'!$Q$5,'data for graph'!Y20,'STEP 1 Benchmark'!$D$3='STEP 1 Benchmark'!$Q$7,'data for graph'!X20)</f>
        <v>22.612767408167063</v>
      </c>
      <c r="AA20">
        <v>155.91887246218175</v>
      </c>
      <c r="AB20" s="38">
        <f>AA20*'STEP 1 Benchmark'!$L$11</f>
        <v>66.822373912363602</v>
      </c>
      <c r="AC20" s="38">
        <f>AA20*'STEP 1 Benchmark'!$L$11/'STEP 2 Detailed analysis'!$AF$23</f>
        <v>6.2531028798725581</v>
      </c>
      <c r="AD20" cm="1">
        <f t="array" ref="AD20">_xlfn.IFS('STEP 1 Benchmark'!$D$3='STEP 1 Benchmark'!$Q$5,'data for graph'!AC20,'STEP 1 Benchmark'!$D$3='STEP 1 Benchmark'!$Q$7,'data for graph'!AB20)</f>
        <v>66.822373912363602</v>
      </c>
      <c r="AE20">
        <f t="shared" si="0"/>
        <v>89.435141320530661</v>
      </c>
    </row>
    <row r="21" spans="2:31" x14ac:dyDescent="0.25">
      <c r="B21">
        <v>16</v>
      </c>
      <c r="C21" s="1">
        <v>8.3333333333333321</v>
      </c>
      <c r="D21" s="1">
        <v>9.9999999999999982</v>
      </c>
      <c r="E21" s="1">
        <v>16.666666666666664</v>
      </c>
      <c r="F21" s="1">
        <v>33.817204301075265</v>
      </c>
      <c r="G21" s="1">
        <v>17.204301075268816</v>
      </c>
      <c r="H21" s="1">
        <v>86.021505376344081</v>
      </c>
      <c r="J21" s="2" t="s">
        <v>310</v>
      </c>
      <c r="K21" s="37">
        <v>250.54466230936816</v>
      </c>
      <c r="L21" s="38">
        <f>K21*'STEP 1 Benchmark'!$L$11</f>
        <v>107.37628384687207</v>
      </c>
      <c r="M21" s="38">
        <f>K21*'STEP 1 Benchmark'!$L$11/'STEP 2 Detailed analysis'!$AF$23</f>
        <v>10.048055919615551</v>
      </c>
      <c r="N21" cm="1">
        <f t="array" ref="N21">_xlfn.IFS('STEP 1 Benchmark'!$D$3='STEP 1 Benchmark'!$Q$5,'data for graph'!M21,'STEP 1 Benchmark'!$D$3='STEP 1 Benchmark'!$Q$7,'data for graph'!L21)</f>
        <v>107.37628384687207</v>
      </c>
      <c r="P21" s="364"/>
      <c r="Q21" s="37">
        <v>543.47826086956513</v>
      </c>
      <c r="R21" s="38">
        <f>Q21*'STEP 1 Benchmark'!$L$11</f>
        <v>232.91925465838506</v>
      </c>
      <c r="S21" s="38">
        <f>Q21*'STEP 1 Benchmark'!$L$11/'STEP 2 Detailed analysis'!$AF$23</f>
        <v>21.796113738674567</v>
      </c>
      <c r="T21" cm="1">
        <f t="array" ref="T21">_xlfn.IFS('STEP 1 Benchmark'!$D$3='STEP 1 Benchmark'!$Q$5,'data for graph'!S21,'STEP 1 Benchmark'!$D$3='STEP 1 Benchmark'!$Q$7,'data for graph'!R21)</f>
        <v>232.91925465838506</v>
      </c>
      <c r="V21" t="s">
        <v>145</v>
      </c>
      <c r="W21">
        <v>55.55555555555555</v>
      </c>
      <c r="X21" s="38">
        <f>W21*'STEP 1 Benchmark'!$L$11</f>
        <v>23.809523809523807</v>
      </c>
      <c r="Y21" s="38">
        <f>W21*'STEP 1 Benchmark'!$L$11/'STEP 2 Detailed analysis'!$AF$23</f>
        <v>2.2280471821756223</v>
      </c>
      <c r="Z21" cm="1">
        <f t="array" ref="Z21">_xlfn.IFS('STEP 1 Benchmark'!$D$3='STEP 1 Benchmark'!$Q$5,'data for graph'!Y21,'STEP 1 Benchmark'!$D$3='STEP 1 Benchmark'!$Q$7,'data for graph'!X21)</f>
        <v>23.809523809523807</v>
      </c>
      <c r="AA21">
        <v>168.53732447817197</v>
      </c>
      <c r="AB21" s="38">
        <f>AA21*'STEP 1 Benchmark'!$L$11</f>
        <v>72.230281919216552</v>
      </c>
      <c r="AC21" s="38">
        <f>AA21*'STEP 1 Benchmark'!$L$11/'STEP 2 Detailed analysis'!$AF$23</f>
        <v>6.759163996110173</v>
      </c>
      <c r="AD21" cm="1">
        <f t="array" ref="AD21">_xlfn.IFS('STEP 1 Benchmark'!$D$3='STEP 1 Benchmark'!$Q$5,'data for graph'!AC21,'STEP 1 Benchmark'!$D$3='STEP 1 Benchmark'!$Q$7,'data for graph'!AB21)</f>
        <v>72.230281919216552</v>
      </c>
      <c r="AE21">
        <f t="shared" si="0"/>
        <v>96.039805728740362</v>
      </c>
    </row>
    <row r="22" spans="2:31" x14ac:dyDescent="0.25">
      <c r="B22">
        <v>17</v>
      </c>
      <c r="C22" s="1">
        <v>28.93518518518518</v>
      </c>
      <c r="D22" s="1">
        <v>12.152777777777773</v>
      </c>
      <c r="E22" s="1">
        <v>14.46759259259259</v>
      </c>
      <c r="F22" s="1">
        <v>25.029550827423172</v>
      </c>
      <c r="G22" s="1">
        <v>8.9539007092198606</v>
      </c>
      <c r="H22" s="1">
        <v>89.539007092198588</v>
      </c>
      <c r="J22" s="2" t="s">
        <v>302</v>
      </c>
      <c r="K22" s="37">
        <v>252.52525252525248</v>
      </c>
      <c r="L22" s="38">
        <f>K22*'STEP 1 Benchmark'!$L$11</f>
        <v>108.2251082251082</v>
      </c>
      <c r="M22" s="38">
        <f>K22*'STEP 1 Benchmark'!$L$11/'STEP 2 Detailed analysis'!$AF$23</f>
        <v>10.127487191707374</v>
      </c>
      <c r="N22" cm="1">
        <f t="array" ref="N22">_xlfn.IFS('STEP 1 Benchmark'!$D$3='STEP 1 Benchmark'!$Q$5,'data for graph'!M22,'STEP 1 Benchmark'!$D$3='STEP 1 Benchmark'!$Q$7,'data for graph'!L22)</f>
        <v>108.2251082251082</v>
      </c>
      <c r="P22" s="364"/>
      <c r="Q22" s="37">
        <v>571.89542483660136</v>
      </c>
      <c r="R22" s="38">
        <f>Q22*'STEP 1 Benchmark'!$L$11</f>
        <v>245.0980392156863</v>
      </c>
      <c r="S22" s="38">
        <f>Q22*'STEP 1 Benchmark'!$L$11/'STEP 2 Detailed analysis'!$AF$23</f>
        <v>22.935779816513765</v>
      </c>
      <c r="T22" cm="1">
        <f t="array" ref="T22">_xlfn.IFS('STEP 1 Benchmark'!$D$3='STEP 1 Benchmark'!$Q$5,'data for graph'!S22,'STEP 1 Benchmark'!$D$3='STEP 1 Benchmark'!$Q$7,'data for graph'!R22)</f>
        <v>245.0980392156863</v>
      </c>
      <c r="V22" t="s">
        <v>145</v>
      </c>
      <c r="W22">
        <v>52.771906638735139</v>
      </c>
      <c r="X22" s="38">
        <f>W22*'STEP 1 Benchmark'!$L$11</f>
        <v>22.616531416600772</v>
      </c>
      <c r="Y22" s="38">
        <f>W22*'STEP 1 Benchmark'!$L$11/'STEP 2 Detailed analysis'!$AF$23</f>
        <v>2.1164093619204394</v>
      </c>
      <c r="Z22" cm="1">
        <f t="array" ref="Z22">_xlfn.IFS('STEP 1 Benchmark'!$D$3='STEP 1 Benchmark'!$Q$5,'data for graph'!Y22,'STEP 1 Benchmark'!$D$3='STEP 1 Benchmark'!$Q$7,'data for graph'!X22)</f>
        <v>22.616531416600772</v>
      </c>
      <c r="AA22">
        <v>182.7777777777778</v>
      </c>
      <c r="AB22" s="38">
        <f>AA22*'STEP 1 Benchmark'!$L$11</f>
        <v>78.333333333333343</v>
      </c>
      <c r="AC22" s="38">
        <f>AA22*'STEP 1 Benchmark'!$L$11/'STEP 2 Detailed analysis'!$AF$23</f>
        <v>7.3302752293577997</v>
      </c>
      <c r="AD22" cm="1">
        <f t="array" ref="AD22">_xlfn.IFS('STEP 1 Benchmark'!$D$3='STEP 1 Benchmark'!$Q$5,'data for graph'!AC22,'STEP 1 Benchmark'!$D$3='STEP 1 Benchmark'!$Q$7,'data for graph'!AB22)</f>
        <v>78.333333333333343</v>
      </c>
      <c r="AE22">
        <f t="shared" si="0"/>
        <v>100.94986474993411</v>
      </c>
    </row>
    <row r="23" spans="2:31" x14ac:dyDescent="0.25">
      <c r="B23">
        <v>18</v>
      </c>
      <c r="C23" s="1">
        <v>13.888888888888888</v>
      </c>
      <c r="D23" s="1">
        <v>18.749999999999996</v>
      </c>
      <c r="E23" s="1">
        <v>26.388888888888889</v>
      </c>
      <c r="F23" s="1">
        <v>23.644179894179903</v>
      </c>
      <c r="G23" s="1">
        <v>9.1857730746619648</v>
      </c>
      <c r="H23" s="1">
        <v>91.857730746619637</v>
      </c>
      <c r="J23" s="2" t="s">
        <v>303</v>
      </c>
      <c r="K23" s="37">
        <v>263.15789473684208</v>
      </c>
      <c r="L23" s="38">
        <f>K23*'STEP 1 Benchmark'!$L$11</f>
        <v>112.78195488721803</v>
      </c>
      <c r="M23" s="38">
        <f>K23*'STEP 1 Benchmark'!$L$11/'STEP 2 Detailed analysis'!$AF$23</f>
        <v>10.553907705042421</v>
      </c>
      <c r="N23" cm="1">
        <f t="array" ref="N23">_xlfn.IFS('STEP 1 Benchmark'!$D$3='STEP 1 Benchmark'!$Q$5,'data for graph'!M23,'STEP 1 Benchmark'!$D$3='STEP 1 Benchmark'!$Q$7,'data for graph'!L23)</f>
        <v>112.78195488721803</v>
      </c>
      <c r="P23" s="364"/>
      <c r="Q23" s="37">
        <v>740.74074074074065</v>
      </c>
      <c r="R23" s="38">
        <f>Q23*'STEP 1 Benchmark'!$L$11</f>
        <v>317.46031746031741</v>
      </c>
      <c r="S23" s="38">
        <f>Q23*'STEP 1 Benchmark'!$L$11/'STEP 2 Detailed analysis'!$AF$23</f>
        <v>29.70729576234163</v>
      </c>
      <c r="T23" cm="1">
        <f t="array" ref="T23">_xlfn.IFS('STEP 1 Benchmark'!$D$3='STEP 1 Benchmark'!$Q$5,'data for graph'!S23,'STEP 1 Benchmark'!$D$3='STEP 1 Benchmark'!$Q$7,'data for graph'!R23)</f>
        <v>317.46031746031741</v>
      </c>
      <c r="V23" t="s">
        <v>145</v>
      </c>
      <c r="W23">
        <v>52.790003599558524</v>
      </c>
      <c r="X23" s="38">
        <f>W23*'STEP 1 Benchmark'!$L$11</f>
        <v>22.624287256953654</v>
      </c>
      <c r="Y23" s="38">
        <f>W23*'STEP 1 Benchmark'!$L$11/'STEP 2 Detailed analysis'!$AF$23</f>
        <v>2.1171351378066725</v>
      </c>
      <c r="Z23" cm="1">
        <f t="array" ref="Z23">_xlfn.IFS('STEP 1 Benchmark'!$D$3='STEP 1 Benchmark'!$Q$5,'data for graph'!Y23,'STEP 1 Benchmark'!$D$3='STEP 1 Benchmark'!$Q$7,'data for graph'!X23)</f>
        <v>22.624287256953654</v>
      </c>
      <c r="AA23">
        <v>182.77647671090293</v>
      </c>
      <c r="AB23" s="38">
        <f>AA23*'STEP 1 Benchmark'!$L$11</f>
        <v>78.332775733244105</v>
      </c>
      <c r="AC23" s="38">
        <f>AA23*'STEP 1 Benchmark'!$L$11/'STEP 2 Detailed analysis'!$AF$23</f>
        <v>7.3302230502668797</v>
      </c>
      <c r="AD23" cm="1">
        <f t="array" ref="AD23">_xlfn.IFS('STEP 1 Benchmark'!$D$3='STEP 1 Benchmark'!$Q$5,'data for graph'!AC23,'STEP 1 Benchmark'!$D$3='STEP 1 Benchmark'!$Q$7,'data for graph'!AB23)</f>
        <v>78.332775733244105</v>
      </c>
      <c r="AE23">
        <f t="shared" si="0"/>
        <v>100.95706299019776</v>
      </c>
    </row>
    <row r="24" spans="2:31" x14ac:dyDescent="0.25">
      <c r="B24">
        <v>19</v>
      </c>
      <c r="C24" s="1">
        <v>10.430000000000003</v>
      </c>
      <c r="D24" s="1">
        <v>19.701111111111114</v>
      </c>
      <c r="E24" s="1">
        <v>28.972222222222225</v>
      </c>
      <c r="F24" s="1">
        <v>23.882025641025638</v>
      </c>
      <c r="G24" s="1">
        <v>12.400111111111112</v>
      </c>
      <c r="H24" s="1">
        <v>95.385470085470089</v>
      </c>
      <c r="J24" s="2" t="s">
        <v>306</v>
      </c>
      <c r="K24" s="37">
        <v>267.48971193415639</v>
      </c>
      <c r="L24" s="38">
        <f>K24*'STEP 1 Benchmark'!$L$11</f>
        <v>114.6384479717813</v>
      </c>
      <c r="M24" s="38">
        <f>K24*'STEP 1 Benchmark'!$L$11/'STEP 2 Detailed analysis'!$AF$23</f>
        <v>10.72763458084559</v>
      </c>
      <c r="N24" cm="1">
        <f t="array" ref="N24">_xlfn.IFS('STEP 1 Benchmark'!$D$3='STEP 1 Benchmark'!$Q$5,'data for graph'!M24,'STEP 1 Benchmark'!$D$3='STEP 1 Benchmark'!$Q$7,'data for graph'!L24)</f>
        <v>114.6384479717813</v>
      </c>
      <c r="P24" s="364"/>
      <c r="Q24" s="37">
        <v>571.42857142857144</v>
      </c>
      <c r="R24" s="38">
        <f>Q24*'STEP 1 Benchmark'!$L$11</f>
        <v>244.89795918367346</v>
      </c>
      <c r="S24" s="38">
        <f>Q24*'STEP 1 Benchmark'!$L$11/'STEP 2 Detailed analysis'!$AF$23</f>
        <v>22.917056730949263</v>
      </c>
      <c r="T24" cm="1">
        <f t="array" ref="T24">_xlfn.IFS('STEP 1 Benchmark'!$D$3='STEP 1 Benchmark'!$Q$5,'data for graph'!S24,'STEP 1 Benchmark'!$D$3='STEP 1 Benchmark'!$Q$7,'data for graph'!R24)</f>
        <v>244.89795918367346</v>
      </c>
      <c r="V24" t="s">
        <v>145</v>
      </c>
      <c r="W24">
        <v>54.466974733889685</v>
      </c>
      <c r="X24" s="38">
        <f>W24*'STEP 1 Benchmark'!$L$11</f>
        <v>23.342989171667007</v>
      </c>
      <c r="Y24" s="38">
        <f>W24*'STEP 1 Benchmark'!$L$11/'STEP 2 Detailed analysis'!$AF$23</f>
        <v>2.1843898123945276</v>
      </c>
      <c r="Z24" cm="1">
        <f t="array" ref="Z24">_xlfn.IFS('STEP 1 Benchmark'!$D$3='STEP 1 Benchmark'!$Q$5,'data for graph'!Y24,'STEP 1 Benchmark'!$D$3='STEP 1 Benchmark'!$Q$7,'data for graph'!X24)</f>
        <v>23.342989171667007</v>
      </c>
      <c r="AA24">
        <v>194.29747207524983</v>
      </c>
      <c r="AB24" s="38">
        <f>AA24*'STEP 1 Benchmark'!$L$11</f>
        <v>83.270345175107067</v>
      </c>
      <c r="AC24" s="38">
        <f>AA24*'STEP 1 Benchmark'!$L$11/'STEP 2 Detailed analysis'!$AF$23</f>
        <v>7.7922708328999279</v>
      </c>
      <c r="AD24" cm="1">
        <f t="array" ref="AD24">_xlfn.IFS('STEP 1 Benchmark'!$D$3='STEP 1 Benchmark'!$Q$5,'data for graph'!AC24,'STEP 1 Benchmark'!$D$3='STEP 1 Benchmark'!$Q$7,'data for graph'!AB24)</f>
        <v>83.270345175107067</v>
      </c>
      <c r="AE24">
        <f t="shared" si="0"/>
        <v>106.61333434677408</v>
      </c>
    </row>
    <row r="25" spans="2:31" x14ac:dyDescent="0.25">
      <c r="B25">
        <v>20</v>
      </c>
      <c r="C25" s="1">
        <v>25.180555555555561</v>
      </c>
      <c r="D25" s="1">
        <v>27.494444444444444</v>
      </c>
      <c r="E25" s="1">
        <v>8.8472222222222232</v>
      </c>
      <c r="F25" s="1">
        <v>25.72426426426426</v>
      </c>
      <c r="G25" s="1">
        <v>9.6940540540540656</v>
      </c>
      <c r="H25" s="1">
        <v>96.940540540540553</v>
      </c>
      <c r="J25" s="2" t="s">
        <v>302</v>
      </c>
      <c r="K25" s="37">
        <v>272.90448343079919</v>
      </c>
      <c r="L25" s="38">
        <f>K25*'STEP 1 Benchmark'!$L$11</f>
        <v>116.95906432748536</v>
      </c>
      <c r="M25" s="38">
        <f>K25*'STEP 1 Benchmark'!$L$11/'STEP 2 Detailed analysis'!$AF$23</f>
        <v>10.944793175599548</v>
      </c>
      <c r="N25" cm="1">
        <f t="array" ref="N25">_xlfn.IFS('STEP 1 Benchmark'!$D$3='STEP 1 Benchmark'!$Q$5,'data for graph'!M25,'STEP 1 Benchmark'!$D$3='STEP 1 Benchmark'!$Q$7,'data for graph'!L25)</f>
        <v>116.95906432748536</v>
      </c>
      <c r="P25" s="364" t="s">
        <v>302</v>
      </c>
      <c r="Q25" s="37">
        <v>149.17692307695236</v>
      </c>
      <c r="R25" s="38">
        <f>Q25*'STEP 1 Benchmark'!$L$11</f>
        <v>63.932967032979583</v>
      </c>
      <c r="S25" s="38">
        <f>Q25*'STEP 1 Benchmark'!$L$11/'STEP 2 Detailed analysis'!$AF$23</f>
        <v>5.9827180159301996</v>
      </c>
      <c r="T25" cm="1">
        <f t="array" ref="T25">_xlfn.IFS('STEP 1 Benchmark'!$D$3='STEP 1 Benchmark'!$Q$5,'data for graph'!S25,'STEP 1 Benchmark'!$D$3='STEP 1 Benchmark'!$Q$7,'data for graph'!R25)</f>
        <v>63.932967032979583</v>
      </c>
      <c r="V25" t="s">
        <v>145</v>
      </c>
      <c r="W25">
        <v>27.777777777777779</v>
      </c>
      <c r="X25" s="38">
        <f>W25*'STEP 1 Benchmark'!$L$11</f>
        <v>11.904761904761905</v>
      </c>
      <c r="Y25" s="38">
        <f>W25*'STEP 1 Benchmark'!$L$11/'STEP 2 Detailed analysis'!$AF$23</f>
        <v>1.1140235910878113</v>
      </c>
      <c r="Z25" cm="1">
        <f t="array" ref="Z25">_xlfn.IFS('STEP 1 Benchmark'!$D$3='STEP 1 Benchmark'!$Q$5,'data for graph'!Y25,'STEP 1 Benchmark'!$D$3='STEP 1 Benchmark'!$Q$7,'data for graph'!X25)</f>
        <v>11.904761904761905</v>
      </c>
      <c r="AA25">
        <v>232.54862756109452</v>
      </c>
      <c r="AB25" s="38">
        <f>AA25*'STEP 1 Benchmark'!$L$11</f>
        <v>99.663697526183356</v>
      </c>
      <c r="AC25" s="38">
        <f>AA25*'STEP 1 Benchmark'!$L$11/'STEP 2 Detailed analysis'!$AF$23</f>
        <v>9.3263276584134882</v>
      </c>
      <c r="AD25" cm="1">
        <f t="array" ref="AD25">_xlfn.IFS('STEP 1 Benchmark'!$D$3='STEP 1 Benchmark'!$Q$5,'data for graph'!AC25,'STEP 1 Benchmark'!$D$3='STEP 1 Benchmark'!$Q$7,'data for graph'!AB25)</f>
        <v>99.663697526183356</v>
      </c>
      <c r="AE25">
        <f t="shared" si="0"/>
        <v>111.56845943094527</v>
      </c>
    </row>
    <row r="26" spans="2:31" x14ac:dyDescent="0.25">
      <c r="B26">
        <v>21</v>
      </c>
      <c r="C26" s="1">
        <v>5.2499999999999991</v>
      </c>
      <c r="D26" s="1">
        <v>27.999999999999996</v>
      </c>
      <c r="E26" s="1">
        <v>6.9999999999999991</v>
      </c>
      <c r="F26" s="1">
        <v>52.562142038946142</v>
      </c>
      <c r="G26" s="1">
        <v>7.4169530355097404</v>
      </c>
      <c r="H26" s="1">
        <v>100.22909507445587</v>
      </c>
      <c r="J26" s="2" t="s">
        <v>302</v>
      </c>
      <c r="K26" s="37">
        <v>272.90448343079919</v>
      </c>
      <c r="L26" s="38">
        <f>K26*'STEP 1 Benchmark'!$L$11</f>
        <v>116.95906432748536</v>
      </c>
      <c r="M26" s="38">
        <f>K26*'STEP 1 Benchmark'!$L$11/'STEP 2 Detailed analysis'!$AF$23</f>
        <v>10.944793175599548</v>
      </c>
      <c r="N26" cm="1">
        <f t="array" ref="N26">_xlfn.IFS('STEP 1 Benchmark'!$D$3='STEP 1 Benchmark'!$Q$5,'data for graph'!M26,'STEP 1 Benchmark'!$D$3='STEP 1 Benchmark'!$Q$7,'data for graph'!L26)</f>
        <v>116.95906432748536</v>
      </c>
      <c r="P26" s="364"/>
      <c r="Q26" s="37">
        <v>185.00948766603415</v>
      </c>
      <c r="R26" s="38">
        <f>Q26*'STEP 1 Benchmark'!$L$11</f>
        <v>79.289780428300347</v>
      </c>
      <c r="S26" s="38">
        <f>Q26*'STEP 1 Benchmark'!$L$11/'STEP 2 Detailed analysis'!$AF$23</f>
        <v>7.4197776180611337</v>
      </c>
      <c r="T26" cm="1">
        <f t="array" ref="T26">_xlfn.IFS('STEP 1 Benchmark'!$D$3='STEP 1 Benchmark'!$Q$5,'data for graph'!S26,'STEP 1 Benchmark'!$D$3='STEP 1 Benchmark'!$Q$7,'data for graph'!R26)</f>
        <v>79.289780428300347</v>
      </c>
      <c r="V26" t="s">
        <v>145</v>
      </c>
      <c r="W26">
        <v>47.222222222222236</v>
      </c>
      <c r="X26" s="38">
        <f>W26*'STEP 1 Benchmark'!$L$11</f>
        <v>20.238095238095244</v>
      </c>
      <c r="Y26" s="38">
        <f>W26*'STEP 1 Benchmark'!$L$11/'STEP 2 Detailed analysis'!$AF$23</f>
        <v>1.8938401048492799</v>
      </c>
      <c r="Z26" cm="1">
        <f t="array" ref="Z26">_xlfn.IFS('STEP 1 Benchmark'!$D$3='STEP 1 Benchmark'!$Q$5,'data for graph'!Y26,'STEP 1 Benchmark'!$D$3='STEP 1 Benchmark'!$Q$7,'data for graph'!X26)</f>
        <v>20.238095238095244</v>
      </c>
      <c r="AA26">
        <v>220.75041657010991</v>
      </c>
      <c r="AB26" s="38">
        <f>AA26*'STEP 1 Benchmark'!$L$11</f>
        <v>94.607321387189955</v>
      </c>
      <c r="AC26" s="38">
        <f>AA26*'STEP 1 Benchmark'!$L$11/'STEP 2 Detailed analysis'!$AF$23</f>
        <v>8.8531621848563091</v>
      </c>
      <c r="AD26" cm="1">
        <f t="array" ref="AD26">_xlfn.IFS('STEP 1 Benchmark'!$D$3='STEP 1 Benchmark'!$Q$5,'data for graph'!AC26,'STEP 1 Benchmark'!$D$3='STEP 1 Benchmark'!$Q$7,'data for graph'!AB26)</f>
        <v>94.607321387189955</v>
      </c>
      <c r="AE26">
        <f t="shared" si="0"/>
        <v>114.8454166252852</v>
      </c>
    </row>
    <row r="27" spans="2:31" x14ac:dyDescent="0.25">
      <c r="B27">
        <v>22</v>
      </c>
      <c r="C27" s="1">
        <v>6.9444444444444455</v>
      </c>
      <c r="D27" s="1">
        <v>5.5555555555555562</v>
      </c>
      <c r="E27" s="1">
        <v>26.388888888888893</v>
      </c>
      <c r="F27" s="1">
        <v>53.703703703703695</v>
      </c>
      <c r="G27" s="1">
        <v>10.288065843621389</v>
      </c>
      <c r="H27" s="1">
        <v>102.88065843621396</v>
      </c>
      <c r="J27" s="2" t="s">
        <v>302</v>
      </c>
      <c r="K27" s="37">
        <v>275.21739130399959</v>
      </c>
      <c r="L27" s="38">
        <f>K27*'STEP 1 Benchmark'!$L$11</f>
        <v>117.95031055885696</v>
      </c>
      <c r="M27" s="38">
        <f>K27*'STEP 1 Benchmark'!$L$11/'STEP 2 Detailed analysis'!$AF$23</f>
        <v>11.037551997250835</v>
      </c>
      <c r="N27" cm="1">
        <f t="array" ref="N27">_xlfn.IFS('STEP 1 Benchmark'!$D$3='STEP 1 Benchmark'!$Q$5,'data for graph'!M27,'STEP 1 Benchmark'!$D$3='STEP 1 Benchmark'!$Q$7,'data for graph'!L27)</f>
        <v>117.95031055885696</v>
      </c>
      <c r="P27" s="364"/>
      <c r="Q27" s="37">
        <v>185.55555555555554</v>
      </c>
      <c r="R27" s="38">
        <f>Q27*'STEP 1 Benchmark'!$L$11</f>
        <v>79.523809523809518</v>
      </c>
      <c r="S27" s="38">
        <f>Q27*'STEP 1 Benchmark'!$L$11/'STEP 2 Detailed analysis'!$AF$23</f>
        <v>7.4416775884665789</v>
      </c>
      <c r="T27" cm="1">
        <f t="array" ref="T27">_xlfn.IFS('STEP 1 Benchmark'!$D$3='STEP 1 Benchmark'!$Q$5,'data for graph'!S27,'STEP 1 Benchmark'!$D$3='STEP 1 Benchmark'!$Q$7,'data for graph'!R27)</f>
        <v>79.523809523809518</v>
      </c>
      <c r="V27" t="s">
        <v>145</v>
      </c>
      <c r="W27">
        <v>50.000000000000007</v>
      </c>
      <c r="X27" s="38">
        <f>W27*'STEP 1 Benchmark'!$L$11</f>
        <v>21.428571428571431</v>
      </c>
      <c r="Y27" s="38">
        <f>W27*'STEP 1 Benchmark'!$L$11/'STEP 2 Detailed analysis'!$AF$23</f>
        <v>2.0052424639580604</v>
      </c>
      <c r="Z27" cm="1">
        <f t="array" ref="Z27">_xlfn.IFS('STEP 1 Benchmark'!$D$3='STEP 1 Benchmark'!$Q$5,'data for graph'!Y27,'STEP 1 Benchmark'!$D$3='STEP 1 Benchmark'!$Q$7,'data for graph'!X27)</f>
        <v>21.428571428571431</v>
      </c>
      <c r="AA27">
        <v>276.96749098933549</v>
      </c>
      <c r="AB27" s="38">
        <f>AA27*'STEP 1 Benchmark'!$L$11</f>
        <v>118.70035328114378</v>
      </c>
      <c r="AC27" s="38">
        <f>AA27*'STEP 1 Benchmark'!$L$11/'STEP 2 Detailed analysis'!$AF$23</f>
        <v>11.10773948135474</v>
      </c>
      <c r="AD27" cm="1">
        <f t="array" ref="AD27">_xlfn.IFS('STEP 1 Benchmark'!$D$3='STEP 1 Benchmark'!$Q$5,'data for graph'!AC27,'STEP 1 Benchmark'!$D$3='STEP 1 Benchmark'!$Q$7,'data for graph'!AB27)</f>
        <v>118.70035328114378</v>
      </c>
      <c r="AE27">
        <f t="shared" si="0"/>
        <v>140.12892470971519</v>
      </c>
    </row>
    <row r="28" spans="2:31" x14ac:dyDescent="0.25">
      <c r="B28">
        <v>23</v>
      </c>
      <c r="C28" s="1">
        <v>25</v>
      </c>
      <c r="D28" s="1">
        <v>25.625</v>
      </c>
      <c r="E28" s="1">
        <v>11.805555555555554</v>
      </c>
      <c r="F28" s="1">
        <v>29.236111111111104</v>
      </c>
      <c r="G28" s="1">
        <v>12.499999999999995</v>
      </c>
      <c r="H28" s="1">
        <v>104.16666666666666</v>
      </c>
      <c r="J28" s="2" t="s">
        <v>302</v>
      </c>
      <c r="K28" s="37">
        <v>279.77084978331663</v>
      </c>
      <c r="L28" s="38">
        <f>K28*'STEP 1 Benchmark'!$L$11</f>
        <v>119.90179276427855</v>
      </c>
      <c r="M28" s="38">
        <f>K28*'STEP 1 Benchmark'!$L$11/'STEP 2 Detailed analysis'!$AF$23</f>
        <v>11.220167763262765</v>
      </c>
      <c r="N28" cm="1">
        <f t="array" ref="N28">_xlfn.IFS('STEP 1 Benchmark'!$D$3='STEP 1 Benchmark'!$Q$5,'data for graph'!M28,'STEP 1 Benchmark'!$D$3='STEP 1 Benchmark'!$Q$7,'data for graph'!L28)</f>
        <v>119.90179276427855</v>
      </c>
      <c r="P28" s="364"/>
      <c r="Q28" s="37">
        <v>199.39536100836028</v>
      </c>
      <c r="R28" s="38">
        <f>Q28*'STEP 1 Benchmark'!$L$11</f>
        <v>85.455154717868695</v>
      </c>
      <c r="S28" s="38">
        <f>Q28*'STEP 1 Benchmark'!$L$11/'STEP 2 Detailed analysis'!$AF$23</f>
        <v>7.9967209002042265</v>
      </c>
      <c r="T28" cm="1">
        <f t="array" ref="T28">_xlfn.IFS('STEP 1 Benchmark'!$D$3='STEP 1 Benchmark'!$Q$5,'data for graph'!S28,'STEP 1 Benchmark'!$D$3='STEP 1 Benchmark'!$Q$7,'data for graph'!R28)</f>
        <v>85.455154717868695</v>
      </c>
      <c r="V28" t="s">
        <v>145</v>
      </c>
      <c r="W28">
        <v>97.388653234358387</v>
      </c>
      <c r="X28" s="38">
        <f>W28*'STEP 1 Benchmark'!$L$11</f>
        <v>41.737994243296448</v>
      </c>
      <c r="Y28" s="38">
        <f>W28*'STEP 1 Benchmark'!$L$11/'STEP 2 Detailed analysis'!$AF$23</f>
        <v>3.9057572594644387</v>
      </c>
      <c r="Z28" cm="1">
        <f t="array" ref="Z28">_xlfn.IFS('STEP 1 Benchmark'!$D$3='STEP 1 Benchmark'!$Q$5,'data for graph'!Y28,'STEP 1 Benchmark'!$D$3='STEP 1 Benchmark'!$Q$7,'data for graph'!X28)</f>
        <v>41.737994243296448</v>
      </c>
      <c r="AA28">
        <v>307.31922398589063</v>
      </c>
      <c r="AB28" s="38">
        <f>AA28*'STEP 1 Benchmark'!$L$11</f>
        <v>131.70823885109598</v>
      </c>
      <c r="AC28" s="38">
        <f>AA28*'STEP 1 Benchmark'!$L$11/'STEP 2 Detailed analysis'!$AF$23</f>
        <v>12.324991158542927</v>
      </c>
      <c r="AD28" cm="1">
        <f t="array" ref="AD28">_xlfn.IFS('STEP 1 Benchmark'!$D$3='STEP 1 Benchmark'!$Q$5,'data for graph'!AC28,'STEP 1 Benchmark'!$D$3='STEP 1 Benchmark'!$Q$7,'data for graph'!AB28)</f>
        <v>131.70823885109598</v>
      </c>
      <c r="AE28">
        <f t="shared" si="0"/>
        <v>173.44623309439243</v>
      </c>
    </row>
    <row r="29" spans="2:31" x14ac:dyDescent="0.25">
      <c r="B29">
        <v>24</v>
      </c>
      <c r="C29" s="1">
        <v>3.6719177914710479</v>
      </c>
      <c r="D29" s="1">
        <v>41.883940972222227</v>
      </c>
      <c r="E29" s="1">
        <v>9.1496967918622847</v>
      </c>
      <c r="F29" s="1">
        <v>39.356944444444444</v>
      </c>
      <c r="G29" s="1">
        <v>10.451388888888886</v>
      </c>
      <c r="H29" s="1">
        <v>104.51388888888889</v>
      </c>
      <c r="J29" s="2" t="s">
        <v>302</v>
      </c>
      <c r="K29" s="37">
        <v>285.21825396825403</v>
      </c>
      <c r="L29" s="38">
        <f>K29*'STEP 1 Benchmark'!$L$11</f>
        <v>122.23639455782315</v>
      </c>
      <c r="M29" s="38">
        <f>K29*'STEP 1 Benchmark'!$L$11/'STEP 2 Detailed analysis'!$AF$23</f>
        <v>11.43863508706235</v>
      </c>
      <c r="N29" cm="1">
        <f t="array" ref="N29">_xlfn.IFS('STEP 1 Benchmark'!$D$3='STEP 1 Benchmark'!$Q$5,'data for graph'!M29,'STEP 1 Benchmark'!$D$3='STEP 1 Benchmark'!$Q$7,'data for graph'!L29)</f>
        <v>122.23639455782315</v>
      </c>
      <c r="P29" s="364"/>
      <c r="Q29" s="37">
        <v>199.48566941499809</v>
      </c>
      <c r="R29" s="38">
        <f>Q29*'STEP 1 Benchmark'!$L$11</f>
        <v>85.493858320713457</v>
      </c>
      <c r="S29" s="38">
        <f>Q29*'STEP 1 Benchmark'!$L$11/'STEP 2 Detailed analysis'!$AF$23</f>
        <v>8.000342705241076</v>
      </c>
      <c r="T29" cm="1">
        <f t="array" ref="T29">_xlfn.IFS('STEP 1 Benchmark'!$D$3='STEP 1 Benchmark'!$Q$5,'data for graph'!S29,'STEP 1 Benchmark'!$D$3='STEP 1 Benchmark'!$Q$7,'data for graph'!R29)</f>
        <v>85.493858320713457</v>
      </c>
      <c r="V29" t="s">
        <v>145</v>
      </c>
      <c r="W29">
        <v>61.1111111111111</v>
      </c>
      <c r="X29" s="38">
        <f>W29*'STEP 1 Benchmark'!$L$11</f>
        <v>26.190476190476183</v>
      </c>
      <c r="Y29" s="38">
        <f>W29*'STEP 1 Benchmark'!$L$11/'STEP 2 Detailed analysis'!$AF$23</f>
        <v>2.4508519003931841</v>
      </c>
      <c r="Z29" cm="1">
        <f t="array" ref="Z29">_xlfn.IFS('STEP 1 Benchmark'!$D$3='STEP 1 Benchmark'!$Q$5,'data for graph'!Y29,'STEP 1 Benchmark'!$D$3='STEP 1 Benchmark'!$Q$7,'data for graph'!X29)</f>
        <v>26.190476190476183</v>
      </c>
      <c r="AA29">
        <v>407.26495726495727</v>
      </c>
      <c r="AB29" s="38">
        <f>AA29*'STEP 1 Benchmark'!$L$11</f>
        <v>174.54212454212453</v>
      </c>
      <c r="AC29" s="38">
        <f>AA29*'STEP 1 Benchmark'!$L$11/'STEP 2 Detailed analysis'!$AF$23</f>
        <v>16.33329972779514</v>
      </c>
      <c r="AD29" cm="1">
        <f t="array" ref="AD29">_xlfn.IFS('STEP 1 Benchmark'!$D$3='STEP 1 Benchmark'!$Q$5,'data for graph'!AC29,'STEP 1 Benchmark'!$D$3='STEP 1 Benchmark'!$Q$7,'data for graph'!AB29)</f>
        <v>174.54212454212453</v>
      </c>
      <c r="AE29">
        <f t="shared" si="0"/>
        <v>200.7326007326007</v>
      </c>
    </row>
    <row r="30" spans="2:31" x14ac:dyDescent="0.25">
      <c r="B30">
        <v>25</v>
      </c>
      <c r="C30" s="1">
        <v>3.0027777777777778</v>
      </c>
      <c r="D30" s="1">
        <v>9.6088888888888899</v>
      </c>
      <c r="E30" s="1">
        <v>33.030555555555559</v>
      </c>
      <c r="F30" s="1">
        <v>58.597063492063484</v>
      </c>
      <c r="G30" s="1">
        <v>11.582142857142854</v>
      </c>
      <c r="H30" s="1">
        <v>115.82142857142857</v>
      </c>
      <c r="J30" s="2" t="s">
        <v>310</v>
      </c>
      <c r="K30" s="37">
        <v>286.73835125448028</v>
      </c>
      <c r="L30" s="38">
        <f>K30*'STEP 1 Benchmark'!$L$11</f>
        <v>122.88786482334868</v>
      </c>
      <c r="M30" s="38">
        <f>K30*'STEP 1 Benchmark'!$L$11/'STEP 2 Detailed analysis'!$AF$23</f>
        <v>11.499598359616115</v>
      </c>
      <c r="N30" cm="1">
        <f t="array" ref="N30">_xlfn.IFS('STEP 1 Benchmark'!$D$3='STEP 1 Benchmark'!$Q$5,'data for graph'!M30,'STEP 1 Benchmark'!$D$3='STEP 1 Benchmark'!$Q$7,'data for graph'!L30)</f>
        <v>122.88786482334868</v>
      </c>
      <c r="P30" s="364"/>
      <c r="Q30" s="37">
        <v>199.6376811591677</v>
      </c>
      <c r="R30" s="38">
        <f>Q30*'STEP 1 Benchmark'!$L$11</f>
        <v>85.559006211071861</v>
      </c>
      <c r="S30" s="38">
        <f>Q30*'STEP 1 Benchmark'!$L$11/'STEP 2 Detailed analysis'!$AF$23</f>
        <v>8.0064391133296606</v>
      </c>
      <c r="T30" cm="1">
        <f t="array" ref="T30">_xlfn.IFS('STEP 1 Benchmark'!$D$3='STEP 1 Benchmark'!$Q$5,'data for graph'!S30,'STEP 1 Benchmark'!$D$3='STEP 1 Benchmark'!$Q$7,'data for graph'!R30)</f>
        <v>85.559006211071861</v>
      </c>
      <c r="W30">
        <v>44.461591220850472</v>
      </c>
      <c r="X30" s="38">
        <f>W30*'STEP 1 Benchmark'!$L$11</f>
        <v>19.054967666078774</v>
      </c>
      <c r="Y30" s="38">
        <f>W30*'STEP 1 Benchmark'!$L$11/'STEP 2 Detailed analysis'!$AF$23</f>
        <v>1.7831254146238853</v>
      </c>
      <c r="Z30" cm="1">
        <f t="array" ref="Z30">_xlfn.IFS('STEP 1 Benchmark'!$D$3='STEP 1 Benchmark'!$Q$5,'data for graph'!Y30,'STEP 1 Benchmark'!$D$3='STEP 1 Benchmark'!$Q$7,'data for graph'!X30)</f>
        <v>19.054967666078774</v>
      </c>
      <c r="AA30">
        <v>435.89743589743591</v>
      </c>
      <c r="AB30" s="38">
        <f>AA30*'STEP 1 Benchmark'!$L$11</f>
        <v>186.8131868131868</v>
      </c>
      <c r="AC30" s="38">
        <f>AA30*'STEP 1 Benchmark'!$L$11/'STEP 2 Detailed analysis'!$AF$23</f>
        <v>17.481600967839501</v>
      </c>
      <c r="AD30" cm="1">
        <f t="array" ref="AD30">_xlfn.IFS('STEP 1 Benchmark'!$D$3='STEP 1 Benchmark'!$Q$5,'data for graph'!AC30,'STEP 1 Benchmark'!$D$3='STEP 1 Benchmark'!$Q$7,'data for graph'!AB30)</f>
        <v>186.8131868131868</v>
      </c>
      <c r="AE30">
        <f t="shared" si="0"/>
        <v>205.86815447926557</v>
      </c>
    </row>
    <row r="31" spans="2:31" x14ac:dyDescent="0.25">
      <c r="B31">
        <v>26</v>
      </c>
      <c r="C31" s="1">
        <v>6.9444444444444455</v>
      </c>
      <c r="D31" s="1">
        <v>22.222222222222225</v>
      </c>
      <c r="E31" s="1">
        <v>34.722222222222221</v>
      </c>
      <c r="F31" s="1">
        <v>42.757936507936506</v>
      </c>
      <c r="G31" s="1">
        <v>11.849647266313935</v>
      </c>
      <c r="H31" s="1">
        <v>118.49647266313933</v>
      </c>
      <c r="J31" s="2" t="s">
        <v>306</v>
      </c>
      <c r="K31" s="37">
        <v>308.64197530864197</v>
      </c>
      <c r="L31" s="38">
        <f>K31*'STEP 1 Benchmark'!$L$11</f>
        <v>132.27513227513228</v>
      </c>
      <c r="M31" s="38">
        <f>K31*'STEP 1 Benchmark'!$L$11/'STEP 2 Detailed analysis'!$AF$23</f>
        <v>12.378039900975683</v>
      </c>
      <c r="N31" cm="1">
        <f t="array" ref="N31">_xlfn.IFS('STEP 1 Benchmark'!$D$3='STEP 1 Benchmark'!$Q$5,'data for graph'!M31,'STEP 1 Benchmark'!$D$3='STEP 1 Benchmark'!$Q$7,'data for graph'!L31)</f>
        <v>132.27513227513228</v>
      </c>
      <c r="P31" s="364"/>
      <c r="Q31" s="37">
        <v>201.66536559979181</v>
      </c>
      <c r="R31" s="38">
        <f>Q31*'STEP 1 Benchmark'!$L$11</f>
        <v>86.428013828482207</v>
      </c>
      <c r="S31" s="38">
        <f>Q31*'STEP 1 Benchmark'!$L$11/'STEP 2 Detailed analysis'!$AF$23</f>
        <v>8.0877590922065927</v>
      </c>
      <c r="T31" cm="1">
        <f t="array" ref="T31">_xlfn.IFS('STEP 1 Benchmark'!$D$3='STEP 1 Benchmark'!$Q$5,'data for graph'!S31,'STEP 1 Benchmark'!$D$3='STEP 1 Benchmark'!$Q$7,'data for graph'!R31)</f>
        <v>86.428013828482207</v>
      </c>
      <c r="U31" t="s">
        <v>311</v>
      </c>
      <c r="V31" t="s">
        <v>145</v>
      </c>
      <c r="W31">
        <v>24.999999999999996</v>
      </c>
      <c r="X31" s="38">
        <f>W31*'STEP 1 Benchmark'!$L$11</f>
        <v>10.714285714285712</v>
      </c>
      <c r="Y31" s="38">
        <f>W31*'STEP 1 Benchmark'!$L$11/'STEP 2 Detailed analysis'!$AF$23</f>
        <v>1.00262123197903</v>
      </c>
      <c r="Z31" cm="1">
        <f t="array" ref="Z31">_xlfn.IFS('STEP 1 Benchmark'!$D$3='STEP 1 Benchmark'!$Q$5,'data for graph'!Y31,'STEP 1 Benchmark'!$D$3='STEP 1 Benchmark'!$Q$7,'data for graph'!X31)</f>
        <v>10.714285714285712</v>
      </c>
      <c r="AA31">
        <v>418.96135265700485</v>
      </c>
      <c r="AB31" s="38">
        <f>AA31*'STEP 1 Benchmark'!$L$11</f>
        <v>179.55486542443063</v>
      </c>
      <c r="AC31" s="38">
        <f>AA31*'STEP 1 Benchmark'!$L$11/'STEP 2 Detailed analysis'!$AF$23</f>
        <v>16.802381902102685</v>
      </c>
      <c r="AD31" cm="1">
        <f t="array" ref="AD31">_xlfn.IFS('STEP 1 Benchmark'!$D$3='STEP 1 Benchmark'!$Q$5,'data for graph'!AC31,'STEP 1 Benchmark'!$D$3='STEP 1 Benchmark'!$Q$7,'data for graph'!AB31)</f>
        <v>179.55486542443063</v>
      </c>
      <c r="AE31">
        <f t="shared" si="0"/>
        <v>190.26915113871635</v>
      </c>
    </row>
    <row r="32" spans="2:31" x14ac:dyDescent="0.25">
      <c r="B32">
        <v>27</v>
      </c>
      <c r="C32" s="1">
        <v>10.416666666666664</v>
      </c>
      <c r="D32" s="1">
        <v>16.666666666666668</v>
      </c>
      <c r="E32" s="1">
        <v>38.888888888888886</v>
      </c>
      <c r="F32" s="1">
        <v>46.207264957264961</v>
      </c>
      <c r="G32" s="1">
        <v>12.464387464387457</v>
      </c>
      <c r="H32" s="1">
        <v>124.64387464387464</v>
      </c>
      <c r="J32" s="2" t="s">
        <v>309</v>
      </c>
      <c r="K32" s="37">
        <v>329.2181069958848</v>
      </c>
      <c r="L32" s="38">
        <f>K32*'STEP 1 Benchmark'!$L$11</f>
        <v>141.09347442680777</v>
      </c>
      <c r="M32" s="38">
        <f>K32*'STEP 1 Benchmark'!$L$11/'STEP 2 Detailed analysis'!$AF$23</f>
        <v>13.203242561040728</v>
      </c>
      <c r="N32" cm="1">
        <f t="array" ref="N32">_xlfn.IFS('STEP 1 Benchmark'!$D$3='STEP 1 Benchmark'!$Q$5,'data for graph'!M32,'STEP 1 Benchmark'!$D$3='STEP 1 Benchmark'!$Q$7,'data for graph'!L32)</f>
        <v>141.09347442680777</v>
      </c>
      <c r="P32" s="364"/>
      <c r="Q32" s="37">
        <v>203.53982300884954</v>
      </c>
      <c r="R32" s="38">
        <f>Q32*'STEP 1 Benchmark'!$L$11</f>
        <v>87.231352718078369</v>
      </c>
      <c r="S32" s="38">
        <f>Q32*'STEP 1 Benchmark'!$L$11/'STEP 2 Detailed analysis'!$AF$23</f>
        <v>8.1629339240770591</v>
      </c>
      <c r="T32" cm="1">
        <f t="array" ref="T32">_xlfn.IFS('STEP 1 Benchmark'!$D$3='STEP 1 Benchmark'!$Q$5,'data for graph'!S32,'STEP 1 Benchmark'!$D$3='STEP 1 Benchmark'!$Q$7,'data for graph'!R32)</f>
        <v>87.231352718078369</v>
      </c>
      <c r="U32" t="s">
        <v>313</v>
      </c>
      <c r="W32">
        <v>55.555555555555571</v>
      </c>
      <c r="X32" s="38">
        <f>W32*'STEP 1 Benchmark'!$L$11</f>
        <v>23.809523809523814</v>
      </c>
      <c r="Y32" s="38">
        <f>W32*'STEP 1 Benchmark'!$L$11/'STEP 2 Detailed analysis'!$AF$23</f>
        <v>2.2280471821756231</v>
      </c>
      <c r="Z32" cm="1">
        <f t="array" ref="Z32">_xlfn.IFS('STEP 1 Benchmark'!$D$3='STEP 1 Benchmark'!$Q$5,'data for graph'!Y32,'STEP 1 Benchmark'!$D$3='STEP 1 Benchmark'!$Q$7,'data for graph'!X32)</f>
        <v>23.809523809523814</v>
      </c>
      <c r="AA32">
        <v>301.44032921810702</v>
      </c>
      <c r="AB32" s="38">
        <f>AA32*'STEP 1 Benchmark'!$L$11</f>
        <v>129.18871252204585</v>
      </c>
      <c r="AC32" s="38">
        <f>AA32*'STEP 1 Benchmark'!$L$11/'STEP 2 Detailed analysis'!$AF$23</f>
        <v>12.089218969952915</v>
      </c>
      <c r="AD32" cm="1">
        <f t="array" ref="AD32">_xlfn.IFS('STEP 1 Benchmark'!$D$3='STEP 1 Benchmark'!$Q$5,'data for graph'!AC32,'STEP 1 Benchmark'!$D$3='STEP 1 Benchmark'!$Q$7,'data for graph'!AB32)</f>
        <v>129.18871252204585</v>
      </c>
      <c r="AE32">
        <f t="shared" si="0"/>
        <v>152.99823633156967</v>
      </c>
    </row>
    <row r="33" spans="2:31" x14ac:dyDescent="0.25">
      <c r="B33">
        <v>28</v>
      </c>
      <c r="C33" s="1">
        <v>5.3999999999999995</v>
      </c>
      <c r="D33" s="1">
        <v>17.549999999999997</v>
      </c>
      <c r="E33" s="1">
        <v>26.999999999999996</v>
      </c>
      <c r="F33" s="1">
        <v>68.266216216216208</v>
      </c>
      <c r="G33" s="1">
        <v>13.135135135135139</v>
      </c>
      <c r="H33" s="1">
        <v>131.35135135135133</v>
      </c>
      <c r="J33" s="2" t="s">
        <v>304</v>
      </c>
      <c r="K33" s="37">
        <v>333.33333333333331</v>
      </c>
      <c r="L33" s="38">
        <f>K33*'STEP 1 Benchmark'!$L$11</f>
        <v>142.85714285714283</v>
      </c>
      <c r="M33" s="38">
        <f>K33*'STEP 1 Benchmark'!$L$11/'STEP 2 Detailed analysis'!$AF$23</f>
        <v>13.368283093053734</v>
      </c>
      <c r="N33" cm="1">
        <f t="array" ref="N33">_xlfn.IFS('STEP 1 Benchmark'!$D$3='STEP 1 Benchmark'!$Q$5,'data for graph'!M33,'STEP 1 Benchmark'!$D$3='STEP 1 Benchmark'!$Q$7,'data for graph'!L33)</f>
        <v>142.85714285714283</v>
      </c>
      <c r="P33" s="364"/>
      <c r="Q33" s="37">
        <v>208.72540633019676</v>
      </c>
      <c r="R33" s="38">
        <f>Q33*'STEP 1 Benchmark'!$L$11</f>
        <v>89.453745570084322</v>
      </c>
      <c r="S33" s="38">
        <f>Q33*'STEP 1 Benchmark'!$L$11/'STEP 2 Detailed analysis'!$AF$23</f>
        <v>8.3709009616042209</v>
      </c>
      <c r="T33" cm="1">
        <f t="array" ref="T33">_xlfn.IFS('STEP 1 Benchmark'!$D$3='STEP 1 Benchmark'!$Q$5,'data for graph'!S33,'STEP 1 Benchmark'!$D$3='STEP 1 Benchmark'!$Q$7,'data for graph'!R33)</f>
        <v>89.453745570084322</v>
      </c>
      <c r="V33" t="s">
        <v>145</v>
      </c>
      <c r="W33">
        <v>27.777777777777782</v>
      </c>
      <c r="X33" s="38">
        <f>W33*'STEP 1 Benchmark'!$L$11</f>
        <v>11.904761904761905</v>
      </c>
      <c r="Y33" s="38">
        <f>W33*'STEP 1 Benchmark'!$L$11/'STEP 2 Detailed analysis'!$AF$23</f>
        <v>1.1140235910878113</v>
      </c>
      <c r="Z33" cm="1">
        <f t="array" ref="Z33">_xlfn.IFS('STEP 1 Benchmark'!$D$3='STEP 1 Benchmark'!$Q$5,'data for graph'!Y33,'STEP 1 Benchmark'!$D$3='STEP 1 Benchmark'!$Q$7,'data for graph'!X33)</f>
        <v>11.904761904761905</v>
      </c>
      <c r="AA33">
        <v>349.24242424242419</v>
      </c>
      <c r="AB33" s="38">
        <f>AA33*'STEP 1 Benchmark'!$L$11</f>
        <v>149.67532467532465</v>
      </c>
      <c r="AC33" s="38">
        <f>AA33*'STEP 1 Benchmark'!$L$11/'STEP 2 Detailed analysis'!$AF$23</f>
        <v>14.006314786131298</v>
      </c>
      <c r="AD33" cm="1">
        <f t="array" ref="AD33">_xlfn.IFS('STEP 1 Benchmark'!$D$3='STEP 1 Benchmark'!$Q$5,'data for graph'!AC33,'STEP 1 Benchmark'!$D$3='STEP 1 Benchmark'!$Q$7,'data for graph'!AB33)</f>
        <v>149.67532467532465</v>
      </c>
      <c r="AE33">
        <f t="shared" si="0"/>
        <v>161.58008658008654</v>
      </c>
    </row>
    <row r="34" spans="2:31" x14ac:dyDescent="0.25">
      <c r="B34">
        <v>29</v>
      </c>
      <c r="C34" s="1">
        <v>6.25</v>
      </c>
      <c r="D34" s="1">
        <v>29.166666666666664</v>
      </c>
      <c r="E34" s="1">
        <v>15.97222222222222</v>
      </c>
      <c r="F34" s="1">
        <v>76.600241545893709</v>
      </c>
      <c r="G34" s="1">
        <v>7.8804347826086927</v>
      </c>
      <c r="H34" s="1">
        <v>135.86956521739128</v>
      </c>
      <c r="J34" s="2" t="s">
        <v>302</v>
      </c>
      <c r="K34" s="37">
        <v>335.0970017636684</v>
      </c>
      <c r="L34" s="38">
        <f>K34*'STEP 1 Benchmark'!$L$11</f>
        <v>143.61300075585788</v>
      </c>
      <c r="M34" s="38">
        <f>K34*'STEP 1 Benchmark'!$L$11/'STEP 2 Detailed analysis'!$AF$23</f>
        <v>13.439014749630738</v>
      </c>
      <c r="N34" cm="1">
        <f t="array" ref="N34">_xlfn.IFS('STEP 1 Benchmark'!$D$3='STEP 1 Benchmark'!$Q$5,'data for graph'!M34,'STEP 1 Benchmark'!$D$3='STEP 1 Benchmark'!$Q$7,'data for graph'!L34)</f>
        <v>143.61300075585788</v>
      </c>
      <c r="P34" s="364"/>
      <c r="Q34" s="37">
        <v>221.3004484305618</v>
      </c>
      <c r="R34" s="38">
        <f>Q34*'STEP 1 Benchmark'!$L$11</f>
        <v>94.843049327383625</v>
      </c>
      <c r="S34" s="38">
        <f>Q34*'STEP 1 Benchmark'!$L$11/'STEP 2 Detailed analysis'!$AF$23</f>
        <v>8.8752211297184687</v>
      </c>
      <c r="T34" cm="1">
        <f t="array" ref="T34">_xlfn.IFS('STEP 1 Benchmark'!$D$3='STEP 1 Benchmark'!$Q$5,'data for graph'!S34,'STEP 1 Benchmark'!$D$3='STEP 1 Benchmark'!$Q$7,'data for graph'!R34)</f>
        <v>94.843049327383625</v>
      </c>
      <c r="V34" t="s">
        <v>145</v>
      </c>
      <c r="W34">
        <v>22.222222222222218</v>
      </c>
      <c r="X34" s="38">
        <f>W34*'STEP 1 Benchmark'!$L$11</f>
        <v>9.5238095238095219</v>
      </c>
      <c r="Y34" s="38">
        <f>W34*'STEP 1 Benchmark'!$L$11/'STEP 2 Detailed analysis'!$AF$23</f>
        <v>0.89121887287024892</v>
      </c>
      <c r="Z34" cm="1">
        <f t="array" ref="Z34">_xlfn.IFS('STEP 1 Benchmark'!$D$3='STEP 1 Benchmark'!$Q$5,'data for graph'!Y34,'STEP 1 Benchmark'!$D$3='STEP 1 Benchmark'!$Q$7,'data for graph'!X34)</f>
        <v>9.5238095238095219</v>
      </c>
      <c r="AA34">
        <v>356.94444444444446</v>
      </c>
      <c r="AB34" s="38">
        <f>AA34*'STEP 1 Benchmark'!$L$11</f>
        <v>152.97619047619048</v>
      </c>
      <c r="AC34" s="38">
        <f>AA34*'STEP 1 Benchmark'!$L$11/'STEP 2 Detailed analysis'!$AF$23</f>
        <v>14.315203145478376</v>
      </c>
      <c r="AD34" cm="1">
        <f t="array" ref="AD34">_xlfn.IFS('STEP 1 Benchmark'!$D$3='STEP 1 Benchmark'!$Q$5,'data for graph'!AC34,'STEP 1 Benchmark'!$D$3='STEP 1 Benchmark'!$Q$7,'data for graph'!AB34)</f>
        <v>152.97619047619048</v>
      </c>
      <c r="AE34">
        <f t="shared" si="0"/>
        <v>162.5</v>
      </c>
    </row>
    <row r="35" spans="2:31" x14ac:dyDescent="0.25">
      <c r="B35">
        <v>30</v>
      </c>
      <c r="C35" s="1">
        <v>13.141666666666666</v>
      </c>
      <c r="D35" s="1">
        <v>23.516666666666662</v>
      </c>
      <c r="E35" s="1">
        <v>24.208333333333329</v>
      </c>
      <c r="F35" s="1">
        <v>61.657142857142851</v>
      </c>
      <c r="G35" s="1">
        <v>13.613756613756619</v>
      </c>
      <c r="H35" s="1">
        <v>136.13756613756613</v>
      </c>
      <c r="J35" s="2" t="s">
        <v>311</v>
      </c>
      <c r="K35" s="37">
        <v>340.13605442176868</v>
      </c>
      <c r="L35" s="38">
        <f>K35*'STEP 1 Benchmark'!$L$11</f>
        <v>145.77259475218656</v>
      </c>
      <c r="M35" s="38">
        <f>K35*'STEP 1 Benchmark'!$L$11/'STEP 2 Detailed analysis'!$AF$23</f>
        <v>13.641105196993605</v>
      </c>
      <c r="N35" cm="1">
        <f t="array" ref="N35">_xlfn.IFS('STEP 1 Benchmark'!$D$3='STEP 1 Benchmark'!$Q$5,'data for graph'!M35,'STEP 1 Benchmark'!$D$3='STEP 1 Benchmark'!$Q$7,'data for graph'!L35)</f>
        <v>145.77259475218656</v>
      </c>
      <c r="P35" s="364"/>
      <c r="Q35" s="37">
        <v>249.8530276308054</v>
      </c>
      <c r="R35" s="38">
        <f>Q35*'STEP 1 Benchmark'!$L$11</f>
        <v>107.07986898463088</v>
      </c>
      <c r="S35" s="38">
        <f>Q35*'STEP 1 Benchmark'!$L$11/'STEP 2 Detailed analysis'!$AF$23</f>
        <v>10.020318015075551</v>
      </c>
      <c r="T35" cm="1">
        <f t="array" ref="T35">_xlfn.IFS('STEP 1 Benchmark'!$D$3='STEP 1 Benchmark'!$Q$5,'data for graph'!S35,'STEP 1 Benchmark'!$D$3='STEP 1 Benchmark'!$Q$7,'data for graph'!R35)</f>
        <v>107.07986898463088</v>
      </c>
      <c r="V35" t="s">
        <v>145</v>
      </c>
      <c r="W35">
        <v>41.666666666666657</v>
      </c>
      <c r="X35" s="38">
        <f>W35*'STEP 1 Benchmark'!$L$11</f>
        <v>17.857142857142851</v>
      </c>
      <c r="Y35" s="38">
        <f>W35*'STEP 1 Benchmark'!$L$11/'STEP 2 Detailed analysis'!$AF$23</f>
        <v>1.6710353866317165</v>
      </c>
      <c r="Z35" cm="1">
        <f t="array" ref="Z35">_xlfn.IFS('STEP 1 Benchmark'!$D$3='STEP 1 Benchmark'!$Q$5,'data for graph'!Y35,'STEP 1 Benchmark'!$D$3='STEP 1 Benchmark'!$Q$7,'data for graph'!X35)</f>
        <v>17.857142857142851</v>
      </c>
      <c r="AA35">
        <v>363.15359477124179</v>
      </c>
      <c r="AB35" s="38">
        <f>AA35*'STEP 1 Benchmark'!$L$11</f>
        <v>155.63725490196074</v>
      </c>
      <c r="AC35" s="38">
        <f>AA35*'STEP 1 Benchmark'!$L$11/'STEP 2 Detailed analysis'!$AF$23</f>
        <v>14.564220183486237</v>
      </c>
      <c r="AD35" cm="1">
        <f t="array" ref="AD35">_xlfn.IFS('STEP 1 Benchmark'!$D$3='STEP 1 Benchmark'!$Q$5,'data for graph'!AC35,'STEP 1 Benchmark'!$D$3='STEP 1 Benchmark'!$Q$7,'data for graph'!AB35)</f>
        <v>155.63725490196074</v>
      </c>
      <c r="AE35">
        <f t="shared" si="0"/>
        <v>173.49439775910361</v>
      </c>
    </row>
    <row r="36" spans="2:31" x14ac:dyDescent="0.25">
      <c r="B36">
        <v>31</v>
      </c>
      <c r="C36" s="1">
        <v>9.7777777777777803</v>
      </c>
      <c r="D36" s="1">
        <v>23.222222222222229</v>
      </c>
      <c r="E36" s="1">
        <v>39.722222222222229</v>
      </c>
      <c r="F36" s="1">
        <v>43.759259259259267</v>
      </c>
      <c r="G36" s="1">
        <v>20.555555555555546</v>
      </c>
      <c r="H36" s="1">
        <v>137.03703703703704</v>
      </c>
      <c r="J36" s="2" t="s">
        <v>303</v>
      </c>
      <c r="K36" s="37">
        <v>358.1560283687943</v>
      </c>
      <c r="L36" s="38">
        <f>K36*'STEP 1 Benchmark'!$L$11</f>
        <v>153.49544072948325</v>
      </c>
      <c r="M36" s="38">
        <f>K36*'STEP 1 Benchmark'!$L$11/'STEP 2 Detailed analysis'!$AF$23</f>
        <v>14.36379353615348</v>
      </c>
      <c r="N36" cm="1">
        <f t="array" ref="N36">_xlfn.IFS('STEP 1 Benchmark'!$D$3='STEP 1 Benchmark'!$Q$5,'data for graph'!M36,'STEP 1 Benchmark'!$D$3='STEP 1 Benchmark'!$Q$7,'data for graph'!L36)</f>
        <v>153.49544072948325</v>
      </c>
      <c r="P36" s="364"/>
      <c r="Q36" s="37">
        <v>252.52525252525248</v>
      </c>
      <c r="R36" s="38">
        <f>Q36*'STEP 1 Benchmark'!$L$11</f>
        <v>108.2251082251082</v>
      </c>
      <c r="S36" s="38">
        <f>Q36*'STEP 1 Benchmark'!$L$11/'STEP 2 Detailed analysis'!$AF$23</f>
        <v>10.127487191707374</v>
      </c>
      <c r="T36" cm="1">
        <f t="array" ref="T36">_xlfn.IFS('STEP 1 Benchmark'!$D$3='STEP 1 Benchmark'!$Q$5,'data for graph'!S36,'STEP 1 Benchmark'!$D$3='STEP 1 Benchmark'!$Q$7,'data for graph'!R36)</f>
        <v>108.2251082251082</v>
      </c>
      <c r="V36" t="s">
        <v>145</v>
      </c>
      <c r="W36">
        <v>52.777777777777764</v>
      </c>
      <c r="X36" s="38">
        <f>W36*'STEP 1 Benchmark'!$L$11</f>
        <v>22.619047619047613</v>
      </c>
      <c r="Y36" s="38">
        <f>W36*'STEP 1 Benchmark'!$L$11/'STEP 2 Detailed analysis'!$AF$23</f>
        <v>2.1166448230668409</v>
      </c>
      <c r="Z36" cm="1">
        <f t="array" ref="Z36">_xlfn.IFS('STEP 1 Benchmark'!$D$3='STEP 1 Benchmark'!$Q$5,'data for graph'!Y36,'STEP 1 Benchmark'!$D$3='STEP 1 Benchmark'!$Q$7,'data for graph'!X36)</f>
        <v>22.619047619047613</v>
      </c>
      <c r="AA36">
        <v>379.10893778864443</v>
      </c>
      <c r="AB36" s="38">
        <f>AA36*'STEP 1 Benchmark'!$L$11</f>
        <v>162.47525905227619</v>
      </c>
      <c r="AC36" s="38">
        <f>AA36*'STEP 1 Benchmark'!$L$11/'STEP 2 Detailed analysis'!$AF$23</f>
        <v>15.204106810396489</v>
      </c>
      <c r="AD36" cm="1">
        <f t="array" ref="AD36">_xlfn.IFS('STEP 1 Benchmark'!$D$3='STEP 1 Benchmark'!$Q$5,'data for graph'!AC36,'STEP 1 Benchmark'!$D$3='STEP 1 Benchmark'!$Q$7,'data for graph'!AB36)</f>
        <v>162.47525905227619</v>
      </c>
      <c r="AE36">
        <f t="shared" si="0"/>
        <v>185.09430667132381</v>
      </c>
    </row>
    <row r="37" spans="2:31" x14ac:dyDescent="0.25">
      <c r="B37">
        <v>32</v>
      </c>
      <c r="C37" s="1">
        <v>14.583333333333336</v>
      </c>
      <c r="D37" s="1">
        <v>16.666666666666668</v>
      </c>
      <c r="E37" s="1">
        <v>34.722222222222229</v>
      </c>
      <c r="F37" s="1">
        <v>59.027777777777764</v>
      </c>
      <c r="G37" s="1">
        <v>13.888888888888889</v>
      </c>
      <c r="H37" s="1">
        <v>138.88888888888889</v>
      </c>
      <c r="J37" s="2" t="s">
        <v>312</v>
      </c>
      <c r="K37" s="37">
        <v>364.58333333333331</v>
      </c>
      <c r="L37" s="38">
        <f>K37*'STEP 1 Benchmark'!$L$11</f>
        <v>156.24999999999997</v>
      </c>
      <c r="M37" s="38">
        <f>K37*'STEP 1 Benchmark'!$L$11/'STEP 2 Detailed analysis'!$AF$23</f>
        <v>14.621559633027521</v>
      </c>
      <c r="N37" cm="1">
        <f t="array" ref="N37">_xlfn.IFS('STEP 1 Benchmark'!$D$3='STEP 1 Benchmark'!$Q$5,'data for graph'!M37,'STEP 1 Benchmark'!$D$3='STEP 1 Benchmark'!$Q$7,'data for graph'!L37)</f>
        <v>156.24999999999997</v>
      </c>
      <c r="P37" s="364"/>
      <c r="Q37" s="37">
        <v>272.90448343079919</v>
      </c>
      <c r="R37" s="38">
        <f>Q37*'STEP 1 Benchmark'!$L$11</f>
        <v>116.95906432748536</v>
      </c>
      <c r="S37" s="38">
        <f>Q37*'STEP 1 Benchmark'!$L$11/'STEP 2 Detailed analysis'!$AF$23</f>
        <v>10.944793175599548</v>
      </c>
      <c r="T37" cm="1">
        <f t="array" ref="T37">_xlfn.IFS('STEP 1 Benchmark'!$D$3='STEP 1 Benchmark'!$Q$5,'data for graph'!S37,'STEP 1 Benchmark'!$D$3='STEP 1 Benchmark'!$Q$7,'data for graph'!R37)</f>
        <v>116.95906432748536</v>
      </c>
      <c r="V37" t="s">
        <v>145</v>
      </c>
      <c r="W37">
        <v>25.000000000000011</v>
      </c>
      <c r="X37" s="38">
        <f>W37*'STEP 1 Benchmark'!$L$11</f>
        <v>10.714285714285719</v>
      </c>
      <c r="Y37" s="38">
        <f>W37*'STEP 1 Benchmark'!$L$11/'STEP 2 Detailed analysis'!$AF$23</f>
        <v>1.0026212319790306</v>
      </c>
      <c r="Z37" cm="1">
        <f t="array" ref="Z37">_xlfn.IFS('STEP 1 Benchmark'!$D$3='STEP 1 Benchmark'!$Q$5,'data for graph'!Y37,'STEP 1 Benchmark'!$D$3='STEP 1 Benchmark'!$Q$7,'data for graph'!X37)</f>
        <v>10.714285714285719</v>
      </c>
      <c r="AA37">
        <v>452.28140511645654</v>
      </c>
      <c r="AB37" s="38">
        <f>AA37*'STEP 1 Benchmark'!$L$11</f>
        <v>193.8348879070528</v>
      </c>
      <c r="AC37" s="38">
        <f>AA37*'STEP 1 Benchmark'!$L$11/'STEP 2 Detailed analysis'!$AF$23</f>
        <v>18.138677583962739</v>
      </c>
      <c r="AD37" cm="1">
        <f t="array" ref="AD37">_xlfn.IFS('STEP 1 Benchmark'!$D$3='STEP 1 Benchmark'!$Q$5,'data for graph'!AC37,'STEP 1 Benchmark'!$D$3='STEP 1 Benchmark'!$Q$7,'data for graph'!AB37)</f>
        <v>193.8348879070528</v>
      </c>
      <c r="AE37">
        <f t="shared" si="0"/>
        <v>204.54917362133853</v>
      </c>
    </row>
    <row r="38" spans="2:31" x14ac:dyDescent="0.25">
      <c r="B38">
        <v>33</v>
      </c>
      <c r="C38" s="1">
        <v>15.277777777777779</v>
      </c>
      <c r="D38" s="1">
        <v>22.777777777777779</v>
      </c>
      <c r="E38" s="1">
        <v>25.138888888888893</v>
      </c>
      <c r="F38" s="1">
        <v>68.519841269841265</v>
      </c>
      <c r="G38" s="1">
        <v>11.142857142857142</v>
      </c>
      <c r="H38" s="1">
        <v>142.85714285714286</v>
      </c>
      <c r="J38" s="2" t="s">
        <v>304</v>
      </c>
      <c r="K38" s="37">
        <v>367.43092298647855</v>
      </c>
      <c r="L38" s="38">
        <f>K38*'STEP 1 Benchmark'!$L$11</f>
        <v>157.47039556563365</v>
      </c>
      <c r="M38" s="38">
        <f>K38*'STEP 1 Benchmark'!$L$11/'STEP 2 Detailed analysis'!$AF$23</f>
        <v>14.735761786875811</v>
      </c>
      <c r="N38" cm="1">
        <f t="array" ref="N38">_xlfn.IFS('STEP 1 Benchmark'!$D$3='STEP 1 Benchmark'!$Q$5,'data for graph'!M38,'STEP 1 Benchmark'!$D$3='STEP 1 Benchmark'!$Q$7,'data for graph'!L38)</f>
        <v>157.47039556563365</v>
      </c>
      <c r="P38" s="364"/>
      <c r="Q38" s="37">
        <v>272.90448343079919</v>
      </c>
      <c r="R38" s="38">
        <f>Q38*'STEP 1 Benchmark'!$L$11</f>
        <v>116.95906432748536</v>
      </c>
      <c r="S38" s="38">
        <f>Q38*'STEP 1 Benchmark'!$L$11/'STEP 2 Detailed analysis'!$AF$23</f>
        <v>10.944793175599548</v>
      </c>
      <c r="T38" cm="1">
        <f t="array" ref="T38">_xlfn.IFS('STEP 1 Benchmark'!$D$3='STEP 1 Benchmark'!$Q$5,'data for graph'!S38,'STEP 1 Benchmark'!$D$3='STEP 1 Benchmark'!$Q$7,'data for graph'!R38)</f>
        <v>116.95906432748536</v>
      </c>
      <c r="V38" t="s">
        <v>145</v>
      </c>
      <c r="W38">
        <v>58.333333333333343</v>
      </c>
      <c r="X38" s="38">
        <f>W38*'STEP 1 Benchmark'!$L$11</f>
        <v>25.000000000000004</v>
      </c>
      <c r="Y38" s="38">
        <f>W38*'STEP 1 Benchmark'!$L$11/'STEP 2 Detailed analysis'!$AF$23</f>
        <v>2.3394495412844041</v>
      </c>
      <c r="Z38" cm="1">
        <f t="array" ref="Z38">_xlfn.IFS('STEP 1 Benchmark'!$D$3='STEP 1 Benchmark'!$Q$5,'data for graph'!Y38,'STEP 1 Benchmark'!$D$3='STEP 1 Benchmark'!$Q$7,'data for graph'!X38)</f>
        <v>25.000000000000004</v>
      </c>
      <c r="AA38">
        <v>446.20811287477954</v>
      </c>
      <c r="AB38" s="38">
        <f>AA38*'STEP 1 Benchmark'!$L$11</f>
        <v>191.2320483749055</v>
      </c>
      <c r="AC38" s="38">
        <f>AA38*'STEP 1 Benchmark'!$L$11/'STEP 2 Detailed analysis'!$AF$23</f>
        <v>17.895109113981984</v>
      </c>
      <c r="AD38" cm="1">
        <f t="array" ref="AD38">_xlfn.IFS('STEP 1 Benchmark'!$D$3='STEP 1 Benchmark'!$Q$5,'data for graph'!AC38,'STEP 1 Benchmark'!$D$3='STEP 1 Benchmark'!$Q$7,'data for graph'!AB38)</f>
        <v>191.2320483749055</v>
      </c>
      <c r="AE38">
        <f t="shared" ref="AE38:AE55" si="1">Z38+AD38</f>
        <v>216.2320483749055</v>
      </c>
    </row>
    <row r="39" spans="2:31" x14ac:dyDescent="0.25">
      <c r="B39">
        <v>34</v>
      </c>
      <c r="C39" s="1">
        <v>1.9</v>
      </c>
      <c r="D39" s="1">
        <v>7.6</v>
      </c>
      <c r="E39" s="1">
        <v>25</v>
      </c>
      <c r="F39" s="1">
        <v>120</v>
      </c>
      <c r="G39" s="1">
        <v>25.333333333333329</v>
      </c>
      <c r="H39" s="1">
        <v>180</v>
      </c>
      <c r="J39" s="2" t="s">
        <v>302</v>
      </c>
      <c r="K39" s="37">
        <v>374.35614422369389</v>
      </c>
      <c r="L39" s="38">
        <f>K39*'STEP 1 Benchmark'!$L$11</f>
        <v>160.43834752444022</v>
      </c>
      <c r="M39" s="38">
        <f>K39*'STEP 1 Benchmark'!$L$11/'STEP 2 Detailed analysis'!$AF$23</f>
        <v>15.013496740819177</v>
      </c>
      <c r="N39" cm="1">
        <f t="array" ref="N39">_xlfn.IFS('STEP 1 Benchmark'!$D$3='STEP 1 Benchmark'!$Q$5,'data for graph'!M39,'STEP 1 Benchmark'!$D$3='STEP 1 Benchmark'!$Q$7,'data for graph'!L39)</f>
        <v>160.43834752444022</v>
      </c>
      <c r="P39" s="364"/>
      <c r="Q39" s="37">
        <v>275.21739130399959</v>
      </c>
      <c r="R39" s="38">
        <f>Q39*'STEP 1 Benchmark'!$L$11</f>
        <v>117.95031055885696</v>
      </c>
      <c r="S39" s="38">
        <f>Q39*'STEP 1 Benchmark'!$L$11/'STEP 2 Detailed analysis'!$AF$23</f>
        <v>11.037551997250835</v>
      </c>
      <c r="T39" cm="1">
        <f t="array" ref="T39">_xlfn.IFS('STEP 1 Benchmark'!$D$3='STEP 1 Benchmark'!$Q$5,'data for graph'!S39,'STEP 1 Benchmark'!$D$3='STEP 1 Benchmark'!$Q$7,'data for graph'!R39)</f>
        <v>117.95031055885696</v>
      </c>
      <c r="V39" t="s">
        <v>145</v>
      </c>
      <c r="W39">
        <v>44.444444444444457</v>
      </c>
      <c r="X39" s="38">
        <f>W39*'STEP 1 Benchmark'!$L$11</f>
        <v>19.047619047619051</v>
      </c>
      <c r="Y39" s="38">
        <f>W39*'STEP 1 Benchmark'!$L$11/'STEP 2 Detailed analysis'!$AF$23</f>
        <v>1.7824377457404985</v>
      </c>
      <c r="Z39" cm="1">
        <f t="array" ref="Z39">_xlfn.IFS('STEP 1 Benchmark'!$D$3='STEP 1 Benchmark'!$Q$5,'data for graph'!Y39,'STEP 1 Benchmark'!$D$3='STEP 1 Benchmark'!$Q$7,'data for graph'!X39)</f>
        <v>19.047619047619051</v>
      </c>
      <c r="AA39">
        <v>456.90883190883187</v>
      </c>
      <c r="AB39" s="38">
        <f>AA39*'STEP 1 Benchmark'!$L$11</f>
        <v>195.81807081807079</v>
      </c>
      <c r="AC39" s="38">
        <f>AA39*'STEP 1 Benchmark'!$L$11/'STEP 2 Detailed analysis'!$AF$23</f>
        <v>18.324259838021305</v>
      </c>
      <c r="AD39" cm="1">
        <f t="array" ref="AD39">_xlfn.IFS('STEP 1 Benchmark'!$D$3='STEP 1 Benchmark'!$Q$5,'data for graph'!AC39,'STEP 1 Benchmark'!$D$3='STEP 1 Benchmark'!$Q$7,'data for graph'!AB39)</f>
        <v>195.81807081807079</v>
      </c>
      <c r="AE39">
        <f t="shared" si="1"/>
        <v>214.86568986568983</v>
      </c>
    </row>
    <row r="40" spans="2:31" x14ac:dyDescent="0.25">
      <c r="J40" s="2" t="s">
        <v>312</v>
      </c>
      <c r="K40" s="37">
        <v>374.4403744403744</v>
      </c>
      <c r="L40" s="38">
        <f>K40*'STEP 1 Benchmark'!$L$11</f>
        <v>160.47444618873189</v>
      </c>
      <c r="M40" s="38">
        <f>K40*'STEP 1 Benchmark'!$L$11/'STEP 2 Detailed analysis'!$AF$23</f>
        <v>15.016874780963903</v>
      </c>
      <c r="N40" cm="1">
        <f t="array" ref="N40">_xlfn.IFS('STEP 1 Benchmark'!$D$3='STEP 1 Benchmark'!$Q$5,'data for graph'!M40,'STEP 1 Benchmark'!$D$3='STEP 1 Benchmark'!$Q$7,'data for graph'!L40)</f>
        <v>160.47444618873189</v>
      </c>
      <c r="P40" s="364"/>
      <c r="Q40" s="37">
        <v>279.77084978331663</v>
      </c>
      <c r="R40" s="38">
        <f>Q40*'STEP 1 Benchmark'!$L$11</f>
        <v>119.90179276427855</v>
      </c>
      <c r="S40" s="38">
        <f>Q40*'STEP 1 Benchmark'!$L$11/'STEP 2 Detailed analysis'!$AF$23</f>
        <v>11.220167763262765</v>
      </c>
      <c r="T40" cm="1">
        <f t="array" ref="T40">_xlfn.IFS('STEP 1 Benchmark'!$D$3='STEP 1 Benchmark'!$Q$5,'data for graph'!S40,'STEP 1 Benchmark'!$D$3='STEP 1 Benchmark'!$Q$7,'data for graph'!R40)</f>
        <v>119.90179276427855</v>
      </c>
      <c r="V40" t="s">
        <v>145</v>
      </c>
      <c r="W40">
        <v>13.888888888888888</v>
      </c>
      <c r="X40" s="38">
        <f>W40*'STEP 1 Benchmark'!$L$11</f>
        <v>5.9523809523809517</v>
      </c>
      <c r="Y40" s="38">
        <f>W40*'STEP 1 Benchmark'!$L$11/'STEP 2 Detailed analysis'!$AF$23</f>
        <v>0.55701179554390556</v>
      </c>
      <c r="Z40" cm="1">
        <f t="array" ref="Z40">_xlfn.IFS('STEP 1 Benchmark'!$D$3='STEP 1 Benchmark'!$Q$5,'data for graph'!Y40,'STEP 1 Benchmark'!$D$3='STEP 1 Benchmark'!$Q$7,'data for graph'!X40)</f>
        <v>5.9523809523809517</v>
      </c>
      <c r="AA40">
        <v>510.31746031746036</v>
      </c>
      <c r="AB40" s="38">
        <f>AA40*'STEP 1 Benchmark'!$L$11</f>
        <v>218.70748299319729</v>
      </c>
      <c r="AC40" s="38">
        <f>AA40*'STEP 1 Benchmark'!$L$11/'STEP 2 Detailed analysis'!$AF$23</f>
        <v>20.466204830556077</v>
      </c>
      <c r="AD40" cm="1">
        <f t="array" ref="AD40">_xlfn.IFS('STEP 1 Benchmark'!$D$3='STEP 1 Benchmark'!$Q$5,'data for graph'!AC40,'STEP 1 Benchmark'!$D$3='STEP 1 Benchmark'!$Q$7,'data for graph'!AB40)</f>
        <v>218.70748299319729</v>
      </c>
      <c r="AE40">
        <f t="shared" si="1"/>
        <v>224.65986394557825</v>
      </c>
    </row>
    <row r="41" spans="2:31" x14ac:dyDescent="0.25">
      <c r="J41" s="2" t="s">
        <v>313</v>
      </c>
      <c r="K41" s="37">
        <v>381.9444444444444</v>
      </c>
      <c r="L41" s="38">
        <f>K41*'STEP 1 Benchmark'!$L$11</f>
        <v>163.69047619047618</v>
      </c>
      <c r="M41" s="38">
        <f>K41*'STEP 1 Benchmark'!$L$11/'STEP 2 Detailed analysis'!$AF$23</f>
        <v>15.317824377457404</v>
      </c>
      <c r="N41" cm="1">
        <f t="array" ref="N41">_xlfn.IFS('STEP 1 Benchmark'!$D$3='STEP 1 Benchmark'!$Q$5,'data for graph'!M41,'STEP 1 Benchmark'!$D$3='STEP 1 Benchmark'!$Q$7,'data for graph'!L41)</f>
        <v>163.69047619047618</v>
      </c>
      <c r="P41" s="364"/>
      <c r="Q41" s="37">
        <v>285.21825396825403</v>
      </c>
      <c r="R41" s="38">
        <f>Q41*'STEP 1 Benchmark'!$L$11</f>
        <v>122.23639455782315</v>
      </c>
      <c r="S41" s="38">
        <f>Q41*'STEP 1 Benchmark'!$L$11/'STEP 2 Detailed analysis'!$AF$23</f>
        <v>11.43863508706235</v>
      </c>
      <c r="T41" cm="1">
        <f t="array" ref="T41">_xlfn.IFS('STEP 1 Benchmark'!$D$3='STEP 1 Benchmark'!$Q$5,'data for graph'!S41,'STEP 1 Benchmark'!$D$3='STEP 1 Benchmark'!$Q$7,'data for graph'!R41)</f>
        <v>122.23639455782315</v>
      </c>
      <c r="V41" t="s">
        <v>145</v>
      </c>
      <c r="W41">
        <v>11.111111111111111</v>
      </c>
      <c r="X41" s="38">
        <f>W41*'STEP 1 Benchmark'!$L$11</f>
        <v>4.7619047619047619</v>
      </c>
      <c r="Y41" s="38">
        <f>W41*'STEP 1 Benchmark'!$L$11/'STEP 2 Detailed analysis'!$AF$23</f>
        <v>0.44560943643512452</v>
      </c>
      <c r="Z41" cm="1">
        <f t="array" ref="Z41">_xlfn.IFS('STEP 1 Benchmark'!$D$3='STEP 1 Benchmark'!$Q$5,'data for graph'!Y41,'STEP 1 Benchmark'!$D$3='STEP 1 Benchmark'!$Q$7,'data for graph'!X41)</f>
        <v>4.7619047619047619</v>
      </c>
      <c r="AA41">
        <v>518.47826086956513</v>
      </c>
      <c r="AB41" s="38">
        <f>AA41*'STEP 1 Benchmark'!$L$11</f>
        <v>222.20496894409933</v>
      </c>
      <c r="AC41" s="38">
        <f>AA41*'STEP 1 Benchmark'!$L$11/'STEP 2 Detailed analysis'!$AF$23</f>
        <v>20.793492506695536</v>
      </c>
      <c r="AD41" cm="1">
        <f t="array" ref="AD41">_xlfn.IFS('STEP 1 Benchmark'!$D$3='STEP 1 Benchmark'!$Q$5,'data for graph'!AC41,'STEP 1 Benchmark'!$D$3='STEP 1 Benchmark'!$Q$7,'data for graph'!AB41)</f>
        <v>222.20496894409933</v>
      </c>
      <c r="AE41">
        <f t="shared" si="1"/>
        <v>226.96687370600409</v>
      </c>
    </row>
    <row r="42" spans="2:31" x14ac:dyDescent="0.25">
      <c r="J42" s="2" t="s">
        <v>305</v>
      </c>
      <c r="K42" s="37">
        <v>395.67567567567573</v>
      </c>
      <c r="L42" s="38">
        <f>K42*'STEP 1 Benchmark'!$L$11</f>
        <v>169.57528957528959</v>
      </c>
      <c r="M42" s="38">
        <f>K42*'STEP 1 Benchmark'!$L$11/'STEP 2 Detailed analysis'!$AF$23</f>
        <v>15.868513336403247</v>
      </c>
      <c r="N42" cm="1">
        <f t="array" ref="N42">_xlfn.IFS('STEP 1 Benchmark'!$D$3='STEP 1 Benchmark'!$Q$5,'data for graph'!M42,'STEP 1 Benchmark'!$D$3='STEP 1 Benchmark'!$Q$7,'data for graph'!L42)</f>
        <v>169.57528957528959</v>
      </c>
      <c r="P42" s="364"/>
      <c r="Q42" s="37">
        <v>335.0970017636684</v>
      </c>
      <c r="R42" s="38">
        <f>Q42*'STEP 1 Benchmark'!$L$11</f>
        <v>143.61300075585788</v>
      </c>
      <c r="S42" s="38">
        <f>Q42*'STEP 1 Benchmark'!$L$11/'STEP 2 Detailed analysis'!$AF$23</f>
        <v>13.439014749630738</v>
      </c>
      <c r="T42" cm="1">
        <f t="array" ref="T42">_xlfn.IFS('STEP 1 Benchmark'!$D$3='STEP 1 Benchmark'!$Q$5,'data for graph'!S42,'STEP 1 Benchmark'!$D$3='STEP 1 Benchmark'!$Q$7,'data for graph'!R42)</f>
        <v>143.61300075585788</v>
      </c>
      <c r="U42" t="s">
        <v>338</v>
      </c>
      <c r="V42" t="s">
        <v>145</v>
      </c>
      <c r="W42">
        <v>1.3888888888888893</v>
      </c>
      <c r="X42" s="38">
        <f>W42*'STEP 1 Benchmark'!$L$11</f>
        <v>0.59523809523809534</v>
      </c>
      <c r="Y42" s="38">
        <f>W42*'STEP 1 Benchmark'!$L$11/'STEP 2 Detailed analysis'!$AF$23</f>
        <v>5.5701179554390579E-2</v>
      </c>
      <c r="Z42" cm="1">
        <f t="array" ref="Z42">_xlfn.IFS('STEP 1 Benchmark'!$D$3='STEP 1 Benchmark'!$Q$5,'data for graph'!Y42,'STEP 1 Benchmark'!$D$3='STEP 1 Benchmark'!$Q$7,'data for graph'!X42)</f>
        <v>0.59523809523809534</v>
      </c>
      <c r="AA42">
        <v>513.58024691358014</v>
      </c>
      <c r="AB42" s="38">
        <f>AA42*'STEP 1 Benchmark'!$L$11</f>
        <v>220.10582010582004</v>
      </c>
      <c r="AC42" s="38">
        <f>AA42*'STEP 1 Benchmark'!$L$11/'STEP 2 Detailed analysis'!$AF$23</f>
        <v>20.597058395223527</v>
      </c>
      <c r="AD42" cm="1">
        <f t="array" ref="AD42">_xlfn.IFS('STEP 1 Benchmark'!$D$3='STEP 1 Benchmark'!$Q$5,'data for graph'!AC42,'STEP 1 Benchmark'!$D$3='STEP 1 Benchmark'!$Q$7,'data for graph'!AB42)</f>
        <v>220.10582010582004</v>
      </c>
      <c r="AE42">
        <f t="shared" si="1"/>
        <v>220.70105820105815</v>
      </c>
    </row>
    <row r="43" spans="2:31" x14ac:dyDescent="0.25">
      <c r="J43" s="2" t="s">
        <v>309</v>
      </c>
      <c r="K43" s="37">
        <v>410.35353535353534</v>
      </c>
      <c r="L43" s="38">
        <f>K43*'STEP 1 Benchmark'!$L$11</f>
        <v>175.86580086580085</v>
      </c>
      <c r="M43" s="38">
        <f>K43*'STEP 1 Benchmark'!$L$11/'STEP 2 Detailed analysis'!$AF$23</f>
        <v>16.457166686524484</v>
      </c>
      <c r="N43" cm="1">
        <f t="array" ref="N43">_xlfn.IFS('STEP 1 Benchmark'!$D$3='STEP 1 Benchmark'!$Q$5,'data for graph'!M43,'STEP 1 Benchmark'!$D$3='STEP 1 Benchmark'!$Q$7,'data for graph'!L43)</f>
        <v>175.86580086580085</v>
      </c>
      <c r="P43" s="364"/>
      <c r="Q43" s="37">
        <v>374.35614422369389</v>
      </c>
      <c r="R43" s="38">
        <f>Q43*'STEP 1 Benchmark'!$L$11</f>
        <v>160.43834752444022</v>
      </c>
      <c r="S43" s="38">
        <f>Q43*'STEP 1 Benchmark'!$L$11/'STEP 2 Detailed analysis'!$AF$23</f>
        <v>15.013496740819177</v>
      </c>
      <c r="T43" cm="1">
        <f t="array" ref="T43">_xlfn.IFS('STEP 1 Benchmark'!$D$3='STEP 1 Benchmark'!$Q$5,'data for graph'!S43,'STEP 1 Benchmark'!$D$3='STEP 1 Benchmark'!$Q$7,'data for graph'!R43)</f>
        <v>160.43834752444022</v>
      </c>
      <c r="W43">
        <v>27.777777777777782</v>
      </c>
      <c r="X43" s="38">
        <f>W43*'STEP 1 Benchmark'!$L$11</f>
        <v>11.904761904761905</v>
      </c>
      <c r="Y43" s="38">
        <f>W43*'STEP 1 Benchmark'!$L$11/'STEP 2 Detailed analysis'!$AF$23</f>
        <v>1.1140235910878113</v>
      </c>
      <c r="Z43" cm="1">
        <f t="array" ref="Z43">_xlfn.IFS('STEP 1 Benchmark'!$D$3='STEP 1 Benchmark'!$Q$5,'data for graph'!Y43,'STEP 1 Benchmark'!$D$3='STEP 1 Benchmark'!$Q$7,'data for graph'!X43)</f>
        <v>11.904761904761905</v>
      </c>
      <c r="AA43">
        <v>163.79310344827584</v>
      </c>
      <c r="AB43" s="38">
        <f>AA43*'STEP 1 Benchmark'!$L$11</f>
        <v>70.197044334975359</v>
      </c>
      <c r="AC43" s="38">
        <f>AA43*'STEP 1 Benchmark'!$L$11/'STEP 2 Detailed analysis'!$AF$23</f>
        <v>6.5688977267591628</v>
      </c>
      <c r="AD43" cm="1">
        <f t="array" ref="AD43">_xlfn.IFS('STEP 1 Benchmark'!$D$3='STEP 1 Benchmark'!$Q$5,'data for graph'!AC43,'STEP 1 Benchmark'!$D$3='STEP 1 Benchmark'!$Q$7,'data for graph'!AB43)</f>
        <v>70.197044334975359</v>
      </c>
      <c r="AE43">
        <f t="shared" si="1"/>
        <v>82.101806239737272</v>
      </c>
    </row>
    <row r="44" spans="2:31" x14ac:dyDescent="0.25">
      <c r="J44" s="2" t="s">
        <v>310</v>
      </c>
      <c r="K44" s="37">
        <v>410.50903119868639</v>
      </c>
      <c r="L44" s="38">
        <f>K44*'STEP 1 Benchmark'!$L$11</f>
        <v>175.93244194229416</v>
      </c>
      <c r="M44" s="38">
        <f>K44*'STEP 1 Benchmark'!$L$11/'STEP 2 Detailed analysis'!$AF$23</f>
        <v>16.463402823957804</v>
      </c>
      <c r="N44" cm="1">
        <f t="array" ref="N44">_xlfn.IFS('STEP 1 Benchmark'!$D$3='STEP 1 Benchmark'!$Q$5,'data for graph'!M44,'STEP 1 Benchmark'!$D$3='STEP 1 Benchmark'!$Q$7,'data for graph'!L44)</f>
        <v>175.93244194229416</v>
      </c>
      <c r="P44" s="364"/>
      <c r="Q44" s="37">
        <v>457.26495726495727</v>
      </c>
      <c r="R44" s="38">
        <f>Q44*'STEP 1 Benchmark'!$L$11</f>
        <v>195.97069597069597</v>
      </c>
      <c r="S44" s="38">
        <f>Q44*'STEP 1 Benchmark'!$L$11/'STEP 2 Detailed analysis'!$AF$23</f>
        <v>18.338542191753202</v>
      </c>
      <c r="T44" cm="1">
        <f t="array" ref="T44">_xlfn.IFS('STEP 1 Benchmark'!$D$3='STEP 1 Benchmark'!$Q$5,'data for graph'!S44,'STEP 1 Benchmark'!$D$3='STEP 1 Benchmark'!$Q$7,'data for graph'!R44)</f>
        <v>195.97069597069597</v>
      </c>
      <c r="U44" t="s">
        <v>304</v>
      </c>
      <c r="V44" t="s">
        <v>145</v>
      </c>
      <c r="W44">
        <v>33.167495854063013</v>
      </c>
      <c r="X44" s="38">
        <f>W44*'STEP 1 Benchmark'!$L$11</f>
        <v>14.214641080312719</v>
      </c>
      <c r="Y44" s="38">
        <f>W44*'STEP 1 Benchmark'!$L$11/'STEP 2 Detailed analysis'!$AF$23</f>
        <v>1.3301774221944012</v>
      </c>
      <c r="Z44" cm="1">
        <f t="array" ref="Z44">_xlfn.IFS('STEP 1 Benchmark'!$D$3='STEP 1 Benchmark'!$Q$5,'data for graph'!Y44,'STEP 1 Benchmark'!$D$3='STEP 1 Benchmark'!$Q$7,'data for graph'!X44)</f>
        <v>14.214641080312719</v>
      </c>
      <c r="AA44">
        <v>493.95943562610222</v>
      </c>
      <c r="AB44" s="38">
        <f>AA44*'STEP 1 Benchmark'!$L$11</f>
        <v>211.69690098261523</v>
      </c>
      <c r="AC44" s="38">
        <f>AA44*'STEP 1 Benchmark'!$L$11/'STEP 2 Detailed analysis'!$AF$23</f>
        <v>19.810168715804362</v>
      </c>
      <c r="AD44" cm="1">
        <f t="array" ref="AD44">_xlfn.IFS('STEP 1 Benchmark'!$D$3='STEP 1 Benchmark'!$Q$5,'data for graph'!AC44,'STEP 1 Benchmark'!$D$3='STEP 1 Benchmark'!$Q$7,'data for graph'!AB44)</f>
        <v>211.69690098261523</v>
      </c>
      <c r="AE44">
        <f t="shared" si="1"/>
        <v>225.91154206292796</v>
      </c>
    </row>
    <row r="45" spans="2:31" x14ac:dyDescent="0.25">
      <c r="J45" s="2" t="s">
        <v>304</v>
      </c>
      <c r="K45" s="37">
        <v>411.52263374485591</v>
      </c>
      <c r="L45" s="38">
        <f>K45*'STEP 1 Benchmark'!$L$11</f>
        <v>176.36684303350967</v>
      </c>
      <c r="M45" s="38">
        <f>K45*'STEP 1 Benchmark'!$L$11/'STEP 2 Detailed analysis'!$AF$23</f>
        <v>16.504053201300906</v>
      </c>
      <c r="N45" cm="1">
        <f t="array" ref="N45">_xlfn.IFS('STEP 1 Benchmark'!$D$3='STEP 1 Benchmark'!$Q$5,'data for graph'!M45,'STEP 1 Benchmark'!$D$3='STEP 1 Benchmark'!$Q$7,'data for graph'!L45)</f>
        <v>176.36684303350967</v>
      </c>
      <c r="P45" s="364"/>
      <c r="Q45" s="37">
        <v>480.07246376811594</v>
      </c>
      <c r="R45" s="38">
        <f>Q45*'STEP 1 Benchmark'!$L$11</f>
        <v>205.74534161490681</v>
      </c>
      <c r="S45" s="38">
        <f>Q45*'STEP 1 Benchmark'!$L$11/'STEP 2 Detailed analysis'!$AF$23</f>
        <v>19.253233802495867</v>
      </c>
      <c r="T45" cm="1">
        <f t="array" ref="T45">_xlfn.IFS('STEP 1 Benchmark'!$D$3='STEP 1 Benchmark'!$Q$5,'data for graph'!S45,'STEP 1 Benchmark'!$D$3='STEP 1 Benchmark'!$Q$7,'data for graph'!R45)</f>
        <v>205.74534161490681</v>
      </c>
      <c r="V45" t="s">
        <v>145</v>
      </c>
      <c r="W45">
        <v>27.777777777777782</v>
      </c>
      <c r="X45" s="38">
        <f>W45*'STEP 1 Benchmark'!$L$11</f>
        <v>11.904761904761905</v>
      </c>
      <c r="Y45" s="38">
        <f>W45*'STEP 1 Benchmark'!$L$11/'STEP 2 Detailed analysis'!$AF$23</f>
        <v>1.1140235910878113</v>
      </c>
      <c r="Z45" cm="1">
        <f t="array" ref="Z45">_xlfn.IFS('STEP 1 Benchmark'!$D$3='STEP 1 Benchmark'!$Q$5,'data for graph'!Y45,'STEP 1 Benchmark'!$D$3='STEP 1 Benchmark'!$Q$7,'data for graph'!X45)</f>
        <v>11.904761904761905</v>
      </c>
      <c r="AA45">
        <v>518.31831831831835</v>
      </c>
      <c r="AB45" s="38">
        <f>AA45*'STEP 1 Benchmark'!$L$11</f>
        <v>222.13642213642214</v>
      </c>
      <c r="AC45" s="38">
        <f>AA45*'STEP 1 Benchmark'!$L$11/'STEP 2 Detailed analysis'!$AF$23</f>
        <v>20.787078034784457</v>
      </c>
      <c r="AD45" cm="1">
        <f t="array" ref="AD45">_xlfn.IFS('STEP 1 Benchmark'!$D$3='STEP 1 Benchmark'!$Q$5,'data for graph'!AC45,'STEP 1 Benchmark'!$D$3='STEP 1 Benchmark'!$Q$7,'data for graph'!AB45)</f>
        <v>222.13642213642214</v>
      </c>
      <c r="AE45">
        <f t="shared" si="1"/>
        <v>234.04118404118404</v>
      </c>
    </row>
    <row r="46" spans="2:31" x14ac:dyDescent="0.25">
      <c r="J46" s="2" t="s">
        <v>305</v>
      </c>
      <c r="K46" s="37">
        <v>416.66666666666663</v>
      </c>
      <c r="L46" s="38">
        <f>K46*'STEP 1 Benchmark'!$L$11</f>
        <v>178.57142857142856</v>
      </c>
      <c r="M46" s="38">
        <f>K46*'STEP 1 Benchmark'!$L$11/'STEP 2 Detailed analysis'!$AF$23</f>
        <v>16.710353866317167</v>
      </c>
      <c r="N46" cm="1">
        <f t="array" ref="N46">_xlfn.IFS('STEP 1 Benchmark'!$D$3='STEP 1 Benchmark'!$Q$5,'data for graph'!M46,'STEP 1 Benchmark'!$D$3='STEP 1 Benchmark'!$Q$7,'data for graph'!L46)</f>
        <v>178.57142857142856</v>
      </c>
      <c r="P46" s="2" t="s">
        <v>307</v>
      </c>
      <c r="Q46" s="37">
        <v>209.02777777777777</v>
      </c>
      <c r="R46" s="38">
        <f>Q46*'STEP 1 Benchmark'!$L$11</f>
        <v>89.583333333333329</v>
      </c>
      <c r="S46" s="38">
        <f>Q46*'STEP 1 Benchmark'!$L$11/'STEP 2 Detailed analysis'!$AF$23</f>
        <v>8.3830275229357802</v>
      </c>
      <c r="T46" cm="1">
        <f t="array" ref="T46">_xlfn.IFS('STEP 1 Benchmark'!$D$3='STEP 1 Benchmark'!$Q$5,'data for graph'!S46,'STEP 1 Benchmark'!$D$3='STEP 1 Benchmark'!$Q$7,'data for graph'!R46)</f>
        <v>89.583333333333329</v>
      </c>
      <c r="V46" t="s">
        <v>145</v>
      </c>
      <c r="W46">
        <v>27.777777777777782</v>
      </c>
      <c r="X46" s="38">
        <f>W46*'STEP 1 Benchmark'!$L$11</f>
        <v>11.904761904761905</v>
      </c>
      <c r="Y46" s="38">
        <f>W46*'STEP 1 Benchmark'!$L$11/'STEP 2 Detailed analysis'!$AF$23</f>
        <v>1.1140235910878113</v>
      </c>
      <c r="Z46" cm="1">
        <f t="array" ref="Z46">_xlfn.IFS('STEP 1 Benchmark'!$D$3='STEP 1 Benchmark'!$Q$5,'data for graph'!Y46,'STEP 1 Benchmark'!$D$3='STEP 1 Benchmark'!$Q$7,'data for graph'!X46)</f>
        <v>11.904761904761905</v>
      </c>
      <c r="AA46">
        <v>521.82539682539675</v>
      </c>
      <c r="AB46" s="38">
        <f>AA46*'STEP 1 Benchmark'!$L$11</f>
        <v>223.63945578231289</v>
      </c>
      <c r="AC46" s="38">
        <f>AA46*'STEP 1 Benchmark'!$L$11/'STEP 2 Detailed analysis'!$AF$23</f>
        <v>20.927728889721024</v>
      </c>
      <c r="AD46" cm="1">
        <f t="array" ref="AD46">_xlfn.IFS('STEP 1 Benchmark'!$D$3='STEP 1 Benchmark'!$Q$5,'data for graph'!AC46,'STEP 1 Benchmark'!$D$3='STEP 1 Benchmark'!$Q$7,'data for graph'!AB46)</f>
        <v>223.63945578231289</v>
      </c>
      <c r="AE46">
        <f t="shared" si="1"/>
        <v>235.54421768707479</v>
      </c>
    </row>
    <row r="47" spans="2:31" x14ac:dyDescent="0.25">
      <c r="J47" s="2" t="s">
        <v>310</v>
      </c>
      <c r="K47" s="37">
        <v>416.66666666666663</v>
      </c>
      <c r="L47" s="38">
        <f>K47*'STEP 1 Benchmark'!$L$11</f>
        <v>178.57142857142856</v>
      </c>
      <c r="M47" s="38">
        <f>K47*'STEP 1 Benchmark'!$L$11/'STEP 2 Detailed analysis'!$AF$23</f>
        <v>16.710353866317167</v>
      </c>
      <c r="N47" cm="1">
        <f t="array" ref="N47">_xlfn.IFS('STEP 1 Benchmark'!$D$3='STEP 1 Benchmark'!$Q$5,'data for graph'!M47,'STEP 1 Benchmark'!$D$3='STEP 1 Benchmark'!$Q$7,'data for graph'!L47)</f>
        <v>178.57142857142856</v>
      </c>
      <c r="P47" s="364" t="s">
        <v>310</v>
      </c>
      <c r="Q47" s="37">
        <v>250.54466230936816</v>
      </c>
      <c r="R47" s="38">
        <f>Q47*'STEP 1 Benchmark'!$L$11</f>
        <v>107.37628384687207</v>
      </c>
      <c r="S47" s="38">
        <f>Q47*'STEP 1 Benchmark'!$L$11/'STEP 2 Detailed analysis'!$AF$23</f>
        <v>10.048055919615551</v>
      </c>
      <c r="T47" cm="1">
        <f t="array" ref="T47">_xlfn.IFS('STEP 1 Benchmark'!$D$3='STEP 1 Benchmark'!$Q$5,'data for graph'!S47,'STEP 1 Benchmark'!$D$3='STEP 1 Benchmark'!$Q$7,'data for graph'!R47)</f>
        <v>107.37628384687207</v>
      </c>
      <c r="V47" t="s">
        <v>145</v>
      </c>
      <c r="W47">
        <v>115.74074074074072</v>
      </c>
      <c r="X47" s="38">
        <f>W47*'STEP 1 Benchmark'!$L$11</f>
        <v>49.603174603174594</v>
      </c>
      <c r="Y47" s="38">
        <f>W47*'STEP 1 Benchmark'!$L$11/'STEP 2 Detailed analysis'!$AF$23</f>
        <v>4.6417649628658797</v>
      </c>
      <c r="Z47" cm="1">
        <f t="array" ref="Z47">_xlfn.IFS('STEP 1 Benchmark'!$D$3='STEP 1 Benchmark'!$Q$5,'data for graph'!Y47,'STEP 1 Benchmark'!$D$3='STEP 1 Benchmark'!$Q$7,'data for graph'!X47)</f>
        <v>49.603174603174594</v>
      </c>
      <c r="AA47">
        <v>497.22222222222217</v>
      </c>
      <c r="AB47" s="38">
        <f>AA47*'STEP 1 Benchmark'!$L$11</f>
        <v>213.09523809523807</v>
      </c>
      <c r="AC47" s="38">
        <f>AA47*'STEP 1 Benchmark'!$L$11/'STEP 2 Detailed analysis'!$AF$23</f>
        <v>19.94102228047182</v>
      </c>
      <c r="AD47" cm="1">
        <f t="array" ref="AD47">_xlfn.IFS('STEP 1 Benchmark'!$D$3='STEP 1 Benchmark'!$Q$5,'data for graph'!AC47,'STEP 1 Benchmark'!$D$3='STEP 1 Benchmark'!$Q$7,'data for graph'!AB47)</f>
        <v>213.09523809523807</v>
      </c>
      <c r="AE47">
        <f t="shared" si="1"/>
        <v>262.69841269841265</v>
      </c>
    </row>
    <row r="48" spans="2:31" x14ac:dyDescent="0.25">
      <c r="J48" s="2" t="s">
        <v>314</v>
      </c>
      <c r="K48" s="37">
        <v>418.70915032679733</v>
      </c>
      <c r="L48" s="38">
        <f>K48*'STEP 1 Benchmark'!$L$11</f>
        <v>179.44677871148457</v>
      </c>
      <c r="M48" s="38">
        <f>K48*'STEP 1 Benchmark'!$L$11/'STEP 2 Detailed analysis'!$AF$23</f>
        <v>16.792267365661861</v>
      </c>
      <c r="N48" cm="1">
        <f t="array" ref="N48">_xlfn.IFS('STEP 1 Benchmark'!$D$3='STEP 1 Benchmark'!$Q$5,'data for graph'!M48,'STEP 1 Benchmark'!$D$3='STEP 1 Benchmark'!$Q$7,'data for graph'!L48)</f>
        <v>179.44677871148457</v>
      </c>
      <c r="P48" s="364"/>
      <c r="Q48" s="37">
        <v>286.73835125448028</v>
      </c>
      <c r="R48" s="38">
        <f>Q48*'STEP 1 Benchmark'!$L$11</f>
        <v>122.88786482334868</v>
      </c>
      <c r="S48" s="38">
        <f>Q48*'STEP 1 Benchmark'!$L$11/'STEP 2 Detailed analysis'!$AF$23</f>
        <v>11.499598359616115</v>
      </c>
      <c r="T48" cm="1">
        <f t="array" ref="T48">_xlfn.IFS('STEP 1 Benchmark'!$D$3='STEP 1 Benchmark'!$Q$5,'data for graph'!S48,'STEP 1 Benchmark'!$D$3='STEP 1 Benchmark'!$Q$7,'data for graph'!R48)</f>
        <v>122.88786482334868</v>
      </c>
      <c r="V48" t="s">
        <v>145</v>
      </c>
      <c r="W48">
        <v>55.55555555555555</v>
      </c>
      <c r="X48" s="38">
        <f>W48*'STEP 1 Benchmark'!$L$11</f>
        <v>23.809523809523807</v>
      </c>
      <c r="Y48" s="38">
        <f>W48*'STEP 1 Benchmark'!$L$11/'STEP 2 Detailed analysis'!$AF$23</f>
        <v>2.2280471821756223</v>
      </c>
      <c r="Z48" cm="1">
        <f t="array" ref="Z48">_xlfn.IFS('STEP 1 Benchmark'!$D$3='STEP 1 Benchmark'!$Q$5,'data for graph'!Y48,'STEP 1 Benchmark'!$D$3='STEP 1 Benchmark'!$Q$7,'data for graph'!X48)</f>
        <v>23.809523809523807</v>
      </c>
      <c r="AA48">
        <v>578.45117845117852</v>
      </c>
      <c r="AB48" s="38">
        <f>AA48*'STEP 1 Benchmark'!$L$11</f>
        <v>247.90764790764791</v>
      </c>
      <c r="AC48" s="38">
        <f>AA48*'STEP 1 Benchmark'!$L$11/'STEP 2 Detailed analysis'!$AF$23</f>
        <v>23.198697327137697</v>
      </c>
      <c r="AD48" cm="1">
        <f t="array" ref="AD48">_xlfn.IFS('STEP 1 Benchmark'!$D$3='STEP 1 Benchmark'!$Q$5,'data for graph'!AC48,'STEP 1 Benchmark'!$D$3='STEP 1 Benchmark'!$Q$7,'data for graph'!AB48)</f>
        <v>247.90764790764791</v>
      </c>
      <c r="AE48">
        <f t="shared" si="1"/>
        <v>271.71717171717171</v>
      </c>
    </row>
    <row r="49" spans="10:31" x14ac:dyDescent="0.25">
      <c r="J49" s="2" t="s">
        <v>313</v>
      </c>
      <c r="K49" s="37">
        <v>434.66449334419997</v>
      </c>
      <c r="L49" s="38">
        <f>K49*'STEP 1 Benchmark'!$L$11</f>
        <v>186.28478286179998</v>
      </c>
      <c r="M49" s="38">
        <f>K49*'STEP 1 Benchmark'!$L$11/'STEP 2 Detailed analysis'!$AF$23</f>
        <v>17.432153992572111</v>
      </c>
      <c r="N49" cm="1">
        <f t="array" ref="N49">_xlfn.IFS('STEP 1 Benchmark'!$D$3='STEP 1 Benchmark'!$Q$5,'data for graph'!M49,'STEP 1 Benchmark'!$D$3='STEP 1 Benchmark'!$Q$7,'data for graph'!L49)</f>
        <v>186.28478286179998</v>
      </c>
      <c r="P49" s="364"/>
      <c r="Q49" s="37">
        <v>364.58333333333331</v>
      </c>
      <c r="R49" s="38">
        <f>Q49*'STEP 1 Benchmark'!$L$11</f>
        <v>156.24999999999997</v>
      </c>
      <c r="S49" s="38">
        <f>Q49*'STEP 1 Benchmark'!$L$11/'STEP 2 Detailed analysis'!$AF$23</f>
        <v>14.621559633027521</v>
      </c>
      <c r="T49" cm="1">
        <f t="array" ref="T49">_xlfn.IFS('STEP 1 Benchmark'!$D$3='STEP 1 Benchmark'!$Q$5,'data for graph'!S49,'STEP 1 Benchmark'!$D$3='STEP 1 Benchmark'!$Q$7,'data for graph'!R49)</f>
        <v>156.24999999999997</v>
      </c>
      <c r="U49" t="s">
        <v>309</v>
      </c>
      <c r="V49" t="s">
        <v>145</v>
      </c>
      <c r="W49" s="1">
        <v>27.777777777777779</v>
      </c>
      <c r="X49" s="38">
        <f>W49*'STEP 1 Benchmark'!$L$11</f>
        <v>11.904761904761905</v>
      </c>
      <c r="Y49" s="38">
        <f>W49*'STEP 1 Benchmark'!$L$11/'STEP 2 Detailed analysis'!$AF$23</f>
        <v>1.1140235910878113</v>
      </c>
      <c r="Z49" cm="1">
        <f t="array" ref="Z49">_xlfn.IFS('STEP 1 Benchmark'!$D$3='STEP 1 Benchmark'!$Q$5,'data for graph'!Y49,'STEP 1 Benchmark'!$D$3='STEP 1 Benchmark'!$Q$7,'data for graph'!X49)</f>
        <v>11.904761904761905</v>
      </c>
      <c r="AA49">
        <v>172.83950617283949</v>
      </c>
      <c r="AB49" s="38">
        <f>AA49*'STEP 1 Benchmark'!$L$11</f>
        <v>74.074074074074062</v>
      </c>
      <c r="AC49" s="38">
        <f>AA49*'STEP 1 Benchmark'!$L$11/'STEP 2 Detailed analysis'!$AF$23</f>
        <v>6.9317023445463803</v>
      </c>
      <c r="AD49" cm="1">
        <f t="array" ref="AD49">_xlfn.IFS('STEP 1 Benchmark'!$D$3='STEP 1 Benchmark'!$Q$5,'data for graph'!AC49,'STEP 1 Benchmark'!$D$3='STEP 1 Benchmark'!$Q$7,'data for graph'!AB49)</f>
        <v>74.074074074074062</v>
      </c>
      <c r="AE49">
        <f t="shared" si="1"/>
        <v>85.978835978835974</v>
      </c>
    </row>
    <row r="50" spans="10:31" x14ac:dyDescent="0.25">
      <c r="J50" s="2" t="s">
        <v>313</v>
      </c>
      <c r="K50" s="37">
        <v>445.6654456654457</v>
      </c>
      <c r="L50" s="38">
        <f>K50*'STEP 1 Benchmark'!$L$11</f>
        <v>190.99947671376242</v>
      </c>
      <c r="M50" s="38">
        <f>K50*'STEP 1 Benchmark'!$L$11/'STEP 2 Detailed analysis'!$AF$23</f>
        <v>17.873345527342906</v>
      </c>
      <c r="N50" cm="1">
        <f t="array" ref="N50">_xlfn.IFS('STEP 1 Benchmark'!$D$3='STEP 1 Benchmark'!$Q$5,'data for graph'!M50,'STEP 1 Benchmark'!$D$3='STEP 1 Benchmark'!$Q$7,'data for graph'!L50)</f>
        <v>190.99947671376242</v>
      </c>
      <c r="P50" s="364"/>
      <c r="Q50" s="37">
        <v>374.4403744403744</v>
      </c>
      <c r="R50" s="38">
        <f>Q50*'STEP 1 Benchmark'!$L$11</f>
        <v>160.47444618873189</v>
      </c>
      <c r="S50" s="38">
        <f>Q50*'STEP 1 Benchmark'!$L$11/'STEP 2 Detailed analysis'!$AF$23</f>
        <v>15.016874780963903</v>
      </c>
      <c r="T50" cm="1">
        <f t="array" ref="T50">_xlfn.IFS('STEP 1 Benchmark'!$D$3='STEP 1 Benchmark'!$Q$5,'data for graph'!S50,'STEP 1 Benchmark'!$D$3='STEP 1 Benchmark'!$Q$7,'data for graph'!R50)</f>
        <v>160.47444618873189</v>
      </c>
      <c r="W50" s="1">
        <v>55.55555555555555</v>
      </c>
      <c r="X50" s="38">
        <f>W50*'STEP 1 Benchmark'!$L$11</f>
        <v>23.809523809523807</v>
      </c>
      <c r="Y50" s="38">
        <f>W50*'STEP 1 Benchmark'!$L$11/'STEP 2 Detailed analysis'!$AF$23</f>
        <v>2.2280471821756223</v>
      </c>
      <c r="Z50" cm="1">
        <f t="array" ref="Z50">_xlfn.IFS('STEP 1 Benchmark'!$D$3='STEP 1 Benchmark'!$Q$5,'data for graph'!Y50,'STEP 1 Benchmark'!$D$3='STEP 1 Benchmark'!$Q$7,'data for graph'!X50)</f>
        <v>23.809523809523807</v>
      </c>
      <c r="AA50">
        <v>242.41528762805365</v>
      </c>
      <c r="AB50" s="38">
        <f>AA50*'STEP 1 Benchmark'!$L$11</f>
        <v>103.8922661263087</v>
      </c>
      <c r="AC50" s="38">
        <f>AA50*'STEP 1 Benchmark'!$L$11/'STEP 2 Detailed analysis'!$AF$23</f>
        <v>9.7220285732876039</v>
      </c>
      <c r="AD50" cm="1">
        <f t="array" ref="AD50">_xlfn.IFS('STEP 1 Benchmark'!$D$3='STEP 1 Benchmark'!$Q$5,'data for graph'!AC50,'STEP 1 Benchmark'!$D$3='STEP 1 Benchmark'!$Q$7,'data for graph'!AB50)</f>
        <v>103.8922661263087</v>
      </c>
      <c r="AE50">
        <f t="shared" si="1"/>
        <v>127.70178993583251</v>
      </c>
    </row>
    <row r="51" spans="10:31" x14ac:dyDescent="0.25">
      <c r="J51" s="2" t="s">
        <v>302</v>
      </c>
      <c r="K51" s="37">
        <v>457.26495726495727</v>
      </c>
      <c r="L51" s="38">
        <f>K51*'STEP 1 Benchmark'!$L$11</f>
        <v>195.97069597069597</v>
      </c>
      <c r="M51" s="38">
        <f>K51*'STEP 1 Benchmark'!$L$11/'STEP 2 Detailed analysis'!$AF$23</f>
        <v>18.338542191753202</v>
      </c>
      <c r="N51" cm="1">
        <f t="array" ref="N51">_xlfn.IFS('STEP 1 Benchmark'!$D$3='STEP 1 Benchmark'!$Q$5,'data for graph'!M51,'STEP 1 Benchmark'!$D$3='STEP 1 Benchmark'!$Q$7,'data for graph'!L51)</f>
        <v>195.97069597069597</v>
      </c>
      <c r="P51" s="364"/>
      <c r="Q51" s="37">
        <v>410.50903119868639</v>
      </c>
      <c r="R51" s="38">
        <f>Q51*'STEP 1 Benchmark'!$L$11</f>
        <v>175.93244194229416</v>
      </c>
      <c r="S51" s="38">
        <f>Q51*'STEP 1 Benchmark'!$L$11/'STEP 2 Detailed analysis'!$AF$23</f>
        <v>16.463402823957804</v>
      </c>
      <c r="T51" cm="1">
        <f t="array" ref="T51">_xlfn.IFS('STEP 1 Benchmark'!$D$3='STEP 1 Benchmark'!$Q$5,'data for graph'!S51,'STEP 1 Benchmark'!$D$3='STEP 1 Benchmark'!$Q$7,'data for graph'!R51)</f>
        <v>175.93244194229416</v>
      </c>
      <c r="W51" s="1">
        <v>25</v>
      </c>
      <c r="X51" s="38">
        <f>W51*'STEP 1 Benchmark'!$L$11</f>
        <v>10.714285714285714</v>
      </c>
      <c r="Y51" s="38">
        <f>W51*'STEP 1 Benchmark'!$L$11/'STEP 2 Detailed analysis'!$AF$23</f>
        <v>1.0026212319790302</v>
      </c>
      <c r="Z51" cm="1">
        <f t="array" ref="Z51">_xlfn.IFS('STEP 1 Benchmark'!$D$3='STEP 1 Benchmark'!$Q$5,'data for graph'!Y51,'STEP 1 Benchmark'!$D$3='STEP 1 Benchmark'!$Q$7,'data for graph'!X51)</f>
        <v>10.714285714285714</v>
      </c>
      <c r="AA51">
        <v>311.87536743092301</v>
      </c>
      <c r="AB51" s="38">
        <f>AA51*'STEP 1 Benchmark'!$L$11</f>
        <v>133.66087175610986</v>
      </c>
      <c r="AC51" s="38">
        <f>AA51*'STEP 1 Benchmark'!$L$11/'STEP 2 Detailed analysis'!$AF$23</f>
        <v>12.507714604700189</v>
      </c>
      <c r="AD51" cm="1">
        <f t="array" ref="AD51">_xlfn.IFS('STEP 1 Benchmark'!$D$3='STEP 1 Benchmark'!$Q$5,'data for graph'!AC51,'STEP 1 Benchmark'!$D$3='STEP 1 Benchmark'!$Q$7,'data for graph'!AB51)</f>
        <v>133.66087175610986</v>
      </c>
      <c r="AE51">
        <f t="shared" si="1"/>
        <v>144.37515747039558</v>
      </c>
    </row>
    <row r="52" spans="10:31" x14ac:dyDescent="0.25">
      <c r="J52" s="2" t="s">
        <v>313</v>
      </c>
      <c r="K52" s="37">
        <v>473.98589065255732</v>
      </c>
      <c r="L52" s="38">
        <f>K52*'STEP 1 Benchmark'!$L$11</f>
        <v>203.1368102796674</v>
      </c>
      <c r="M52" s="38">
        <f>K52*'STEP 1 Benchmark'!$L$11/'STEP 2 Detailed analysis'!$AF$23</f>
        <v>19.009132705069796</v>
      </c>
      <c r="N52" cm="1">
        <f t="array" ref="N52">_xlfn.IFS('STEP 1 Benchmark'!$D$3='STEP 1 Benchmark'!$Q$5,'data for graph'!M52,'STEP 1 Benchmark'!$D$3='STEP 1 Benchmark'!$Q$7,'data for graph'!L52)</f>
        <v>203.1368102796674</v>
      </c>
      <c r="P52" s="364"/>
      <c r="Q52" s="37">
        <v>416.66666666666663</v>
      </c>
      <c r="R52" s="38">
        <f>Q52*'STEP 1 Benchmark'!$L$11</f>
        <v>178.57142857142856</v>
      </c>
      <c r="S52" s="38">
        <f>Q52*'STEP 1 Benchmark'!$L$11/'STEP 2 Detailed analysis'!$AF$23</f>
        <v>16.710353866317167</v>
      </c>
      <c r="T52" cm="1">
        <f t="array" ref="T52">_xlfn.IFS('STEP 1 Benchmark'!$D$3='STEP 1 Benchmark'!$Q$5,'data for graph'!S52,'STEP 1 Benchmark'!$D$3='STEP 1 Benchmark'!$Q$7,'data for graph'!R52)</f>
        <v>178.57142857142856</v>
      </c>
      <c r="W52" s="1">
        <v>61.1111111111111</v>
      </c>
      <c r="X52" s="38">
        <f>W52*'STEP 1 Benchmark'!$L$11</f>
        <v>26.190476190476183</v>
      </c>
      <c r="Y52" s="38">
        <f>W52*'STEP 1 Benchmark'!$L$11/'STEP 2 Detailed analysis'!$AF$23</f>
        <v>2.4508519003931841</v>
      </c>
      <c r="Z52" cm="1">
        <f t="array" ref="Z52">_xlfn.IFS('STEP 1 Benchmark'!$D$3='STEP 1 Benchmark'!$Q$5,'data for graph'!Y52,'STEP 1 Benchmark'!$D$3='STEP 1 Benchmark'!$Q$7,'data for graph'!X52)</f>
        <v>26.190476190476183</v>
      </c>
      <c r="AA52">
        <v>300.16583747927024</v>
      </c>
      <c r="AB52" s="38">
        <f>AA52*'STEP 1 Benchmark'!$L$11</f>
        <v>128.6425017768301</v>
      </c>
      <c r="AC52" s="38">
        <f>AA52*'STEP 1 Benchmark'!$L$11/'STEP 2 Detailed analysis'!$AF$23</f>
        <v>12.038105670859331</v>
      </c>
      <c r="AD52" cm="1">
        <f t="array" ref="AD52">_xlfn.IFS('STEP 1 Benchmark'!$D$3='STEP 1 Benchmark'!$Q$5,'data for graph'!AC52,'STEP 1 Benchmark'!$D$3='STEP 1 Benchmark'!$Q$7,'data for graph'!AB52)</f>
        <v>128.6425017768301</v>
      </c>
      <c r="AE52">
        <f t="shared" si="1"/>
        <v>154.83297796730628</v>
      </c>
    </row>
    <row r="53" spans="10:31" x14ac:dyDescent="0.25">
      <c r="J53" s="2" t="s">
        <v>311</v>
      </c>
      <c r="K53" s="37">
        <v>477.2814051164566</v>
      </c>
      <c r="L53" s="38">
        <f>K53*'STEP 1 Benchmark'!$L$11</f>
        <v>204.54917362133853</v>
      </c>
      <c r="M53" s="38">
        <f>K53*'STEP 1 Benchmark'!$L$11/'STEP 2 Detailed analysis'!$AF$23</f>
        <v>19.14129881594177</v>
      </c>
      <c r="N53" cm="1">
        <f t="array" ref="N53">_xlfn.IFS('STEP 1 Benchmark'!$D$3='STEP 1 Benchmark'!$Q$5,'data for graph'!M53,'STEP 1 Benchmark'!$D$3='STEP 1 Benchmark'!$Q$7,'data for graph'!L53)</f>
        <v>204.54917362133853</v>
      </c>
      <c r="P53" s="364"/>
      <c r="Q53" s="37">
        <v>491.45299145299145</v>
      </c>
      <c r="R53" s="38">
        <f>Q53*'STEP 1 Benchmark'!$L$11</f>
        <v>210.6227106227106</v>
      </c>
      <c r="S53" s="38">
        <f>Q53*'STEP 1 Benchmark'!$L$11/'STEP 2 Detailed analysis'!$AF$23</f>
        <v>19.70964815001512</v>
      </c>
      <c r="T53" cm="1">
        <f t="array" ref="T53">_xlfn.IFS('STEP 1 Benchmark'!$D$3='STEP 1 Benchmark'!$Q$5,'data for graph'!S53,'STEP 1 Benchmark'!$D$3='STEP 1 Benchmark'!$Q$7,'data for graph'!R53)</f>
        <v>210.6227106227106</v>
      </c>
      <c r="W53" s="1">
        <v>61.111111111111114</v>
      </c>
      <c r="X53" s="38">
        <f>W53*'STEP 1 Benchmark'!$L$11</f>
        <v>26.19047619047619</v>
      </c>
      <c r="Y53" s="38">
        <f>W53*'STEP 1 Benchmark'!$L$11/'STEP 2 Detailed analysis'!$AF$23</f>
        <v>2.450851900393185</v>
      </c>
      <c r="Z53" cm="1">
        <f t="array" ref="Z53">_xlfn.IFS('STEP 1 Benchmark'!$D$3='STEP 1 Benchmark'!$Q$5,'data for graph'!Y53,'STEP 1 Benchmark'!$D$3='STEP 1 Benchmark'!$Q$7,'data for graph'!X53)</f>
        <v>26.19047619047619</v>
      </c>
      <c r="AA53">
        <v>383.74485596707808</v>
      </c>
      <c r="AB53" s="38">
        <f>AA53*'STEP 1 Benchmark'!$L$11</f>
        <v>164.46208112874774</v>
      </c>
      <c r="AC53" s="38">
        <f>AA53*'STEP 1 Benchmark'!$L$11/'STEP 2 Detailed analysis'!$AF$23</f>
        <v>15.390029610213093</v>
      </c>
      <c r="AD53" cm="1">
        <f t="array" ref="AD53">_xlfn.IFS('STEP 1 Benchmark'!$D$3='STEP 1 Benchmark'!$Q$5,'data for graph'!AC53,'STEP 1 Benchmark'!$D$3='STEP 1 Benchmark'!$Q$7,'data for graph'!AB53)</f>
        <v>164.46208112874774</v>
      </c>
      <c r="AE53">
        <f t="shared" si="1"/>
        <v>190.65255731922394</v>
      </c>
    </row>
    <row r="54" spans="10:31" x14ac:dyDescent="0.25">
      <c r="J54" s="2" t="s">
        <v>302</v>
      </c>
      <c r="K54" s="37">
        <v>480.07246376811594</v>
      </c>
      <c r="L54" s="38">
        <f>K54*'STEP 1 Benchmark'!$L$11</f>
        <v>205.74534161490681</v>
      </c>
      <c r="M54" s="38">
        <f>K54*'STEP 1 Benchmark'!$L$11/'STEP 2 Detailed analysis'!$AF$23</f>
        <v>19.253233802495867</v>
      </c>
      <c r="N54" cm="1">
        <f t="array" ref="N54">_xlfn.IFS('STEP 1 Benchmark'!$D$3='STEP 1 Benchmark'!$Q$5,'data for graph'!M54,'STEP 1 Benchmark'!$D$3='STEP 1 Benchmark'!$Q$7,'data for graph'!L54)</f>
        <v>205.74534161490681</v>
      </c>
      <c r="P54" s="364"/>
      <c r="Q54" s="37">
        <v>735.29411764705878</v>
      </c>
      <c r="R54" s="38">
        <f>Q54*'STEP 1 Benchmark'!$L$11</f>
        <v>315.12605042016804</v>
      </c>
      <c r="S54" s="38">
        <f>Q54*'STEP 1 Benchmark'!$L$11/'STEP 2 Detailed analysis'!$AF$23</f>
        <v>29.488859764089121</v>
      </c>
      <c r="T54" cm="1">
        <f t="array" ref="T54">_xlfn.IFS('STEP 1 Benchmark'!$D$3='STEP 1 Benchmark'!$Q$5,'data for graph'!S54,'STEP 1 Benchmark'!$D$3='STEP 1 Benchmark'!$Q$7,'data for graph'!R54)</f>
        <v>315.12605042016804</v>
      </c>
      <c r="U54" t="s">
        <v>306</v>
      </c>
      <c r="W54">
        <v>27.777777777777771</v>
      </c>
      <c r="X54" s="38">
        <f>W54*'STEP 1 Benchmark'!$L$11</f>
        <v>11.904761904761902</v>
      </c>
      <c r="Y54" s="38">
        <f>W54*'STEP 1 Benchmark'!$L$11/'STEP 2 Detailed analysis'!$AF$23</f>
        <v>1.1140235910878111</v>
      </c>
      <c r="Z54" cm="1">
        <f t="array" ref="Z54">_xlfn.IFS('STEP 1 Benchmark'!$D$3='STEP 1 Benchmark'!$Q$5,'data for graph'!Y54,'STEP 1 Benchmark'!$D$3='STEP 1 Benchmark'!$Q$7,'data for graph'!X54)</f>
        <v>11.904761904761902</v>
      </c>
      <c r="AA54">
        <v>239.71193415637862</v>
      </c>
      <c r="AB54" s="38">
        <f>AA54*'STEP 1 Benchmark'!$L$11</f>
        <v>102.73368606701941</v>
      </c>
      <c r="AC54" s="38">
        <f>AA54*'STEP 1 Benchmark'!$L$11/'STEP 2 Detailed analysis'!$AF$23</f>
        <v>9.6136109897577793</v>
      </c>
      <c r="AD54" cm="1">
        <f t="array" ref="AD54">_xlfn.IFS('STEP 1 Benchmark'!$D$3='STEP 1 Benchmark'!$Q$5,'data for graph'!AC54,'STEP 1 Benchmark'!$D$3='STEP 1 Benchmark'!$Q$7,'data for graph'!AB54)</f>
        <v>102.73368606701941</v>
      </c>
      <c r="AE54">
        <f t="shared" si="1"/>
        <v>114.6384479717813</v>
      </c>
    </row>
    <row r="55" spans="10:31" x14ac:dyDescent="0.25">
      <c r="J55" s="2" t="s">
        <v>305</v>
      </c>
      <c r="K55" s="37">
        <v>486.11111111111109</v>
      </c>
      <c r="L55" s="38">
        <f>K55*'STEP 1 Benchmark'!$L$11</f>
        <v>208.33333333333331</v>
      </c>
      <c r="M55" s="38">
        <f>K55*'STEP 1 Benchmark'!$L$11/'STEP 2 Detailed analysis'!$AF$23</f>
        <v>19.495412844036696</v>
      </c>
      <c r="N55" cm="1">
        <f t="array" ref="N55">_xlfn.IFS('STEP 1 Benchmark'!$D$3='STEP 1 Benchmark'!$Q$5,'data for graph'!M55,'STEP 1 Benchmark'!$D$3='STEP 1 Benchmark'!$Q$7,'data for graph'!L55)</f>
        <v>208.33333333333331</v>
      </c>
      <c r="P55" s="364" t="s">
        <v>311</v>
      </c>
      <c r="Q55" s="37">
        <v>340.13605442176868</v>
      </c>
      <c r="R55" s="38">
        <f>Q55*'STEP 1 Benchmark'!$L$11</f>
        <v>145.77259475218656</v>
      </c>
      <c r="S55" s="38">
        <f>Q55*'STEP 1 Benchmark'!$L$11/'STEP 2 Detailed analysis'!$AF$23</f>
        <v>13.641105196993605</v>
      </c>
      <c r="T55" cm="1">
        <f t="array" ref="T55">_xlfn.IFS('STEP 1 Benchmark'!$D$3='STEP 1 Benchmark'!$Q$5,'data for graph'!S55,'STEP 1 Benchmark'!$D$3='STEP 1 Benchmark'!$Q$7,'data for graph'!R55)</f>
        <v>145.77259475218656</v>
      </c>
      <c r="V55" t="s">
        <v>145</v>
      </c>
      <c r="W55">
        <v>69.444444444444443</v>
      </c>
      <c r="X55" s="38">
        <f>W55*'STEP 1 Benchmark'!$L$11</f>
        <v>29.761904761904759</v>
      </c>
      <c r="Y55" s="38">
        <f>W55*'STEP 1 Benchmark'!$L$11/'STEP 2 Detailed analysis'!$AF$23</f>
        <v>2.7850589777195283</v>
      </c>
      <c r="Z55" cm="1">
        <f t="array" ref="Z55">_xlfn.IFS('STEP 1 Benchmark'!$D$3='STEP 1 Benchmark'!$Q$5,'data for graph'!Y55,'STEP 1 Benchmark'!$D$3='STEP 1 Benchmark'!$Q$7,'data for graph'!X55)</f>
        <v>29.761904761904759</v>
      </c>
      <c r="AA55">
        <v>239.19753086419752</v>
      </c>
      <c r="AB55" s="38">
        <f>AA55*'STEP 1 Benchmark'!$L$11</f>
        <v>102.51322751322751</v>
      </c>
      <c r="AC55" s="38">
        <f>AA55*'STEP 1 Benchmark'!$L$11/'STEP 2 Detailed analysis'!$AF$23</f>
        <v>9.5929809232561531</v>
      </c>
      <c r="AD55" cm="1">
        <f t="array" ref="AD55">_xlfn.IFS('STEP 1 Benchmark'!$D$3='STEP 1 Benchmark'!$Q$5,'data for graph'!AC55,'STEP 1 Benchmark'!$D$3='STEP 1 Benchmark'!$Q$7,'data for graph'!AB55)</f>
        <v>102.51322751322751</v>
      </c>
      <c r="AE55">
        <f t="shared" si="1"/>
        <v>132.27513227513225</v>
      </c>
    </row>
    <row r="56" spans="10:31" x14ac:dyDescent="0.25">
      <c r="J56" s="2" t="s">
        <v>310</v>
      </c>
      <c r="K56" s="37">
        <v>491.45299145299145</v>
      </c>
      <c r="L56" s="38">
        <f>K56*'STEP 1 Benchmark'!$L$11</f>
        <v>210.6227106227106</v>
      </c>
      <c r="M56" s="38">
        <f>K56*'STEP 1 Benchmark'!$L$11/'STEP 2 Detailed analysis'!$AF$23</f>
        <v>19.70964815001512</v>
      </c>
      <c r="N56" cm="1">
        <f t="array" ref="N56">_xlfn.IFS('STEP 1 Benchmark'!$D$3='STEP 1 Benchmark'!$Q$5,'data for graph'!M56,'STEP 1 Benchmark'!$D$3='STEP 1 Benchmark'!$Q$7,'data for graph'!L56)</f>
        <v>210.6227106227106</v>
      </c>
      <c r="P56" s="364"/>
      <c r="Q56" s="37">
        <v>477.2814051164566</v>
      </c>
      <c r="R56" s="38">
        <f>Q56*'STEP 1 Benchmark'!$L$11</f>
        <v>204.54917362133853</v>
      </c>
      <c r="S56" s="38">
        <f>Q56*'STEP 1 Benchmark'!$L$11/'STEP 2 Detailed analysis'!$AF$23</f>
        <v>19.14129881594177</v>
      </c>
      <c r="T56" cm="1">
        <f t="array" ref="T56">_xlfn.IFS('STEP 1 Benchmark'!$D$3='STEP 1 Benchmark'!$Q$5,'data for graph'!S56,'STEP 1 Benchmark'!$D$3='STEP 1 Benchmark'!$Q$7,'data for graph'!R56)</f>
        <v>204.54917362133853</v>
      </c>
    </row>
    <row r="57" spans="10:31" x14ac:dyDescent="0.25">
      <c r="J57" s="2" t="s">
        <v>313</v>
      </c>
      <c r="K57" s="37">
        <v>498.57549857549856</v>
      </c>
      <c r="L57" s="38">
        <f>K57*'STEP 1 Benchmark'!$L$11</f>
        <v>213.67521367521366</v>
      </c>
      <c r="M57" s="38">
        <f>K57*'STEP 1 Benchmark'!$L$11/'STEP 2 Detailed analysis'!$AF$23</f>
        <v>19.995295224653024</v>
      </c>
      <c r="N57" cm="1">
        <f t="array" ref="N57">_xlfn.IFS('STEP 1 Benchmark'!$D$3='STEP 1 Benchmark'!$Q$5,'data for graph'!M57,'STEP 1 Benchmark'!$D$3='STEP 1 Benchmark'!$Q$7,'data for graph'!L57)</f>
        <v>213.67521367521366</v>
      </c>
      <c r="P57" s="364" t="s">
        <v>313</v>
      </c>
      <c r="Q57" s="37">
        <v>381.9444444444444</v>
      </c>
      <c r="R57" s="38">
        <f>Q57*'STEP 1 Benchmark'!$L$11</f>
        <v>163.69047619047618</v>
      </c>
      <c r="S57" s="38">
        <f>Q57*'STEP 1 Benchmark'!$L$11/'STEP 2 Detailed analysis'!$AF$23</f>
        <v>15.317824377457404</v>
      </c>
      <c r="T57" cm="1">
        <f t="array" ref="T57">_xlfn.IFS('STEP 1 Benchmark'!$D$3='STEP 1 Benchmark'!$Q$5,'data for graph'!S57,'STEP 1 Benchmark'!$D$3='STEP 1 Benchmark'!$Q$7,'data for graph'!R57)</f>
        <v>163.69047619047618</v>
      </c>
    </row>
    <row r="58" spans="10:31" x14ac:dyDescent="0.25">
      <c r="J58" s="2" t="s">
        <v>313</v>
      </c>
      <c r="K58" s="37">
        <v>500.34506556245685</v>
      </c>
      <c r="L58" s="38">
        <f>K58*'STEP 1 Benchmark'!$L$11</f>
        <v>214.43359952676721</v>
      </c>
      <c r="M58" s="38">
        <f>K58*'STEP 1 Benchmark'!$L$11/'STEP 2 Detailed analysis'!$AF$23</f>
        <v>20.066263441954366</v>
      </c>
      <c r="N58" cm="1">
        <f t="array" ref="N58">_xlfn.IFS('STEP 1 Benchmark'!$D$3='STEP 1 Benchmark'!$Q$5,'data for graph'!M58,'STEP 1 Benchmark'!$D$3='STEP 1 Benchmark'!$Q$7,'data for graph'!L58)</f>
        <v>214.43359952676721</v>
      </c>
      <c r="P58" s="364"/>
      <c r="Q58" s="37">
        <v>434.66449334419997</v>
      </c>
      <c r="R58" s="38">
        <f>Q58*'STEP 1 Benchmark'!$L$11</f>
        <v>186.28478286179998</v>
      </c>
      <c r="S58" s="38">
        <f>Q58*'STEP 1 Benchmark'!$L$11/'STEP 2 Detailed analysis'!$AF$23</f>
        <v>17.432153992572111</v>
      </c>
      <c r="T58" cm="1">
        <f t="array" ref="T58">_xlfn.IFS('STEP 1 Benchmark'!$D$3='STEP 1 Benchmark'!$Q$5,'data for graph'!S58,'STEP 1 Benchmark'!$D$3='STEP 1 Benchmark'!$Q$7,'data for graph'!R58)</f>
        <v>186.28478286179998</v>
      </c>
    </row>
    <row r="59" spans="10:31" x14ac:dyDescent="0.25">
      <c r="J59" s="2" t="s">
        <v>313</v>
      </c>
      <c r="K59" s="37">
        <v>524.69135802469134</v>
      </c>
      <c r="L59" s="38">
        <f>K59*'STEP 1 Benchmark'!$L$11</f>
        <v>224.86772486772486</v>
      </c>
      <c r="M59" s="38">
        <f>K59*'STEP 1 Benchmark'!$L$11/'STEP 2 Detailed analysis'!$AF$23</f>
        <v>21.042667831658658</v>
      </c>
      <c r="N59" cm="1">
        <f t="array" ref="N59">_xlfn.IFS('STEP 1 Benchmark'!$D$3='STEP 1 Benchmark'!$Q$5,'data for graph'!M59,'STEP 1 Benchmark'!$D$3='STEP 1 Benchmark'!$Q$7,'data for graph'!L59)</f>
        <v>224.86772486772486</v>
      </c>
      <c r="P59" s="364"/>
      <c r="Q59" s="37">
        <v>445.6654456654457</v>
      </c>
      <c r="R59" s="38">
        <f>Q59*'STEP 1 Benchmark'!$L$11</f>
        <v>190.99947671376242</v>
      </c>
      <c r="S59" s="38">
        <f>Q59*'STEP 1 Benchmark'!$L$11/'STEP 2 Detailed analysis'!$AF$23</f>
        <v>17.873345527342906</v>
      </c>
      <c r="T59" cm="1">
        <f t="array" ref="T59">_xlfn.IFS('STEP 1 Benchmark'!$D$3='STEP 1 Benchmark'!$Q$5,'data for graph'!S59,'STEP 1 Benchmark'!$D$3='STEP 1 Benchmark'!$Q$7,'data for graph'!R59)</f>
        <v>190.99947671376242</v>
      </c>
    </row>
    <row r="60" spans="10:31" x14ac:dyDescent="0.25">
      <c r="J60" s="2" t="s">
        <v>313</v>
      </c>
      <c r="K60" s="37">
        <v>526.31578947368416</v>
      </c>
      <c r="L60" s="38">
        <f>K60*'STEP 1 Benchmark'!$L$11</f>
        <v>225.56390977443607</v>
      </c>
      <c r="M60" s="38">
        <f>K60*'STEP 1 Benchmark'!$L$11/'STEP 2 Detailed analysis'!$AF$23</f>
        <v>21.107815410084843</v>
      </c>
      <c r="N60" cm="1">
        <f t="array" ref="N60">_xlfn.IFS('STEP 1 Benchmark'!$D$3='STEP 1 Benchmark'!$Q$5,'data for graph'!M60,'STEP 1 Benchmark'!$D$3='STEP 1 Benchmark'!$Q$7,'data for graph'!L60)</f>
        <v>225.56390977443607</v>
      </c>
      <c r="P60" s="364"/>
      <c r="Q60" s="37">
        <v>473.98589065255732</v>
      </c>
      <c r="R60" s="38">
        <f>Q60*'STEP 1 Benchmark'!$L$11</f>
        <v>203.1368102796674</v>
      </c>
      <c r="S60" s="38">
        <f>Q60*'STEP 1 Benchmark'!$L$11/'STEP 2 Detailed analysis'!$AF$23</f>
        <v>19.009132705069796</v>
      </c>
      <c r="T60" cm="1">
        <f t="array" ref="T60">_xlfn.IFS('STEP 1 Benchmark'!$D$3='STEP 1 Benchmark'!$Q$5,'data for graph'!S60,'STEP 1 Benchmark'!$D$3='STEP 1 Benchmark'!$Q$7,'data for graph'!R60)</f>
        <v>203.1368102796674</v>
      </c>
    </row>
    <row r="61" spans="10:31" x14ac:dyDescent="0.25">
      <c r="J61" s="2" t="s">
        <v>313</v>
      </c>
      <c r="K61" s="37">
        <v>535.71428571428567</v>
      </c>
      <c r="L61" s="38">
        <f>K61*'STEP 1 Benchmark'!$L$11</f>
        <v>229.59183673469386</v>
      </c>
      <c r="M61" s="38">
        <f>K61*'STEP 1 Benchmark'!$L$11/'STEP 2 Detailed analysis'!$AF$23</f>
        <v>21.484740685264931</v>
      </c>
      <c r="N61" cm="1">
        <f t="array" ref="N61">_xlfn.IFS('STEP 1 Benchmark'!$D$3='STEP 1 Benchmark'!$Q$5,'data for graph'!M61,'STEP 1 Benchmark'!$D$3='STEP 1 Benchmark'!$Q$7,'data for graph'!L61)</f>
        <v>229.59183673469386</v>
      </c>
      <c r="P61" s="364"/>
      <c r="Q61" s="37">
        <v>498.57549857549856</v>
      </c>
      <c r="R61" s="38">
        <f>Q61*'STEP 1 Benchmark'!$L$11</f>
        <v>213.67521367521366</v>
      </c>
      <c r="S61" s="38">
        <f>Q61*'STEP 1 Benchmark'!$L$11/'STEP 2 Detailed analysis'!$AF$23</f>
        <v>19.995295224653024</v>
      </c>
      <c r="T61" cm="1">
        <f t="array" ref="T61">_xlfn.IFS('STEP 1 Benchmark'!$D$3='STEP 1 Benchmark'!$Q$5,'data for graph'!S61,'STEP 1 Benchmark'!$D$3='STEP 1 Benchmark'!$Q$7,'data for graph'!R61)</f>
        <v>213.67521367521366</v>
      </c>
    </row>
    <row r="62" spans="10:31" x14ac:dyDescent="0.25">
      <c r="J62" s="2" t="s">
        <v>313</v>
      </c>
      <c r="K62" s="37">
        <v>540.54054054054052</v>
      </c>
      <c r="L62" s="38">
        <f>K62*'STEP 1 Benchmark'!$L$11</f>
        <v>231.66023166023163</v>
      </c>
      <c r="M62" s="38">
        <f>K62*'STEP 1 Benchmark'!$L$11/'STEP 2 Detailed analysis'!$AF$23</f>
        <v>21.678296907654705</v>
      </c>
      <c r="N62" cm="1">
        <f t="array" ref="N62">_xlfn.IFS('STEP 1 Benchmark'!$D$3='STEP 1 Benchmark'!$Q$5,'data for graph'!M62,'STEP 1 Benchmark'!$D$3='STEP 1 Benchmark'!$Q$7,'data for graph'!L62)</f>
        <v>231.66023166023163</v>
      </c>
      <c r="P62" s="364"/>
      <c r="Q62" s="37">
        <v>500.34506556245685</v>
      </c>
      <c r="R62" s="38">
        <f>Q62*'STEP 1 Benchmark'!$L$11</f>
        <v>214.43359952676721</v>
      </c>
      <c r="S62" s="38">
        <f>Q62*'STEP 1 Benchmark'!$L$11/'STEP 2 Detailed analysis'!$AF$23</f>
        <v>20.066263441954366</v>
      </c>
      <c r="T62" cm="1">
        <f t="array" ref="T62">_xlfn.IFS('STEP 1 Benchmark'!$D$3='STEP 1 Benchmark'!$Q$5,'data for graph'!S62,'STEP 1 Benchmark'!$D$3='STEP 1 Benchmark'!$Q$7,'data for graph'!R62)</f>
        <v>214.43359952676721</v>
      </c>
    </row>
    <row r="63" spans="10:31" x14ac:dyDescent="0.25">
      <c r="J63" s="2" t="s">
        <v>314</v>
      </c>
      <c r="K63" s="37">
        <v>543.47826086956513</v>
      </c>
      <c r="L63" s="38">
        <f>K63*'STEP 1 Benchmark'!$L$11</f>
        <v>232.91925465838506</v>
      </c>
      <c r="M63" s="38">
        <f>K63*'STEP 1 Benchmark'!$L$11/'STEP 2 Detailed analysis'!$AF$23</f>
        <v>21.796113738674567</v>
      </c>
      <c r="N63" cm="1">
        <f t="array" ref="N63">_xlfn.IFS('STEP 1 Benchmark'!$D$3='STEP 1 Benchmark'!$Q$5,'data for graph'!M63,'STEP 1 Benchmark'!$D$3='STEP 1 Benchmark'!$Q$7,'data for graph'!L63)</f>
        <v>232.91925465838506</v>
      </c>
      <c r="P63" s="364"/>
      <c r="Q63" s="37">
        <v>524.69135802469134</v>
      </c>
      <c r="R63" s="38">
        <f>Q63*'STEP 1 Benchmark'!$L$11</f>
        <v>224.86772486772486</v>
      </c>
      <c r="S63" s="38">
        <f>Q63*'STEP 1 Benchmark'!$L$11/'STEP 2 Detailed analysis'!$AF$23</f>
        <v>21.042667831658658</v>
      </c>
      <c r="T63" cm="1">
        <f t="array" ref="T63">_xlfn.IFS('STEP 1 Benchmark'!$D$3='STEP 1 Benchmark'!$Q$5,'data for graph'!S63,'STEP 1 Benchmark'!$D$3='STEP 1 Benchmark'!$Q$7,'data for graph'!R63)</f>
        <v>224.86772486772486</v>
      </c>
    </row>
    <row r="64" spans="10:31" x14ac:dyDescent="0.25">
      <c r="J64" s="2" t="s">
        <v>313</v>
      </c>
      <c r="K64" s="37">
        <v>546.73721340387999</v>
      </c>
      <c r="L64" s="38">
        <f>K64*'STEP 1 Benchmark'!$L$11</f>
        <v>234.31594860166285</v>
      </c>
      <c r="M64" s="38">
        <f>K64*'STEP 1 Benchmark'!$L$11/'STEP 2 Detailed analysis'!$AF$23</f>
        <v>21.926813538871205</v>
      </c>
      <c r="N64" cm="1">
        <f t="array" ref="N64">_xlfn.IFS('STEP 1 Benchmark'!$D$3='STEP 1 Benchmark'!$Q$5,'data for graph'!M64,'STEP 1 Benchmark'!$D$3='STEP 1 Benchmark'!$Q$7,'data for graph'!L64)</f>
        <v>234.31594860166285</v>
      </c>
      <c r="P64" s="364"/>
      <c r="Q64" s="37">
        <v>526.31578947368416</v>
      </c>
      <c r="R64" s="38">
        <f>Q64*'STEP 1 Benchmark'!$L$11</f>
        <v>225.56390977443607</v>
      </c>
      <c r="S64" s="38">
        <f>Q64*'STEP 1 Benchmark'!$L$11/'STEP 2 Detailed analysis'!$AF$23</f>
        <v>21.107815410084843</v>
      </c>
      <c r="T64" cm="1">
        <f t="array" ref="T64">_xlfn.IFS('STEP 1 Benchmark'!$D$3='STEP 1 Benchmark'!$Q$5,'data for graph'!S64,'STEP 1 Benchmark'!$D$3='STEP 1 Benchmark'!$Q$7,'data for graph'!R64)</f>
        <v>225.56390977443607</v>
      </c>
    </row>
    <row r="65" spans="10:20" x14ac:dyDescent="0.25">
      <c r="J65" s="2" t="s">
        <v>313</v>
      </c>
      <c r="K65" s="37">
        <v>555.55555555555554</v>
      </c>
      <c r="L65" s="38">
        <f>K65*'STEP 1 Benchmark'!$L$11</f>
        <v>238.09523809523807</v>
      </c>
      <c r="M65" s="38">
        <f>K65*'STEP 1 Benchmark'!$L$11/'STEP 2 Detailed analysis'!$AF$23</f>
        <v>22.280471821756226</v>
      </c>
      <c r="N65" cm="1">
        <f t="array" ref="N65">_xlfn.IFS('STEP 1 Benchmark'!$D$3='STEP 1 Benchmark'!$Q$5,'data for graph'!M65,'STEP 1 Benchmark'!$D$3='STEP 1 Benchmark'!$Q$7,'data for graph'!L65)</f>
        <v>238.09523809523807</v>
      </c>
      <c r="P65" s="364"/>
      <c r="Q65" s="37">
        <v>535.71428571428567</v>
      </c>
      <c r="R65" s="38">
        <f>Q65*'STEP 1 Benchmark'!$L$11</f>
        <v>229.59183673469386</v>
      </c>
      <c r="S65" s="38">
        <f>Q65*'STEP 1 Benchmark'!$L$11/'STEP 2 Detailed analysis'!$AF$23</f>
        <v>21.484740685264931</v>
      </c>
      <c r="T65" cm="1">
        <f t="array" ref="T65">_xlfn.IFS('STEP 1 Benchmark'!$D$3='STEP 1 Benchmark'!$Q$5,'data for graph'!S65,'STEP 1 Benchmark'!$D$3='STEP 1 Benchmark'!$Q$7,'data for graph'!R65)</f>
        <v>229.59183673469386</v>
      </c>
    </row>
    <row r="66" spans="10:20" x14ac:dyDescent="0.25">
      <c r="J66" s="2" t="s">
        <v>315</v>
      </c>
      <c r="K66" s="37">
        <v>571.42857142857144</v>
      </c>
      <c r="L66" s="38">
        <f>K66*'STEP 1 Benchmark'!$L$11</f>
        <v>244.89795918367346</v>
      </c>
      <c r="M66" s="38">
        <f>K66*'STEP 1 Benchmark'!$L$11/'STEP 2 Detailed analysis'!$AF$23</f>
        <v>22.917056730949263</v>
      </c>
      <c r="N66" cm="1">
        <f t="array" ref="N66">_xlfn.IFS('STEP 1 Benchmark'!$D$3='STEP 1 Benchmark'!$Q$5,'data for graph'!M66,'STEP 1 Benchmark'!$D$3='STEP 1 Benchmark'!$Q$7,'data for graph'!L66)</f>
        <v>244.89795918367346</v>
      </c>
      <c r="P66" s="364"/>
      <c r="Q66" s="37">
        <v>540.54054054054052</v>
      </c>
      <c r="R66" s="38">
        <f>Q66*'STEP 1 Benchmark'!$L$11</f>
        <v>231.66023166023163</v>
      </c>
      <c r="S66" s="38">
        <f>Q66*'STEP 1 Benchmark'!$L$11/'STEP 2 Detailed analysis'!$AF$23</f>
        <v>21.678296907654705</v>
      </c>
      <c r="T66" cm="1">
        <f t="array" ref="T66">_xlfn.IFS('STEP 1 Benchmark'!$D$3='STEP 1 Benchmark'!$Q$5,'data for graph'!S66,'STEP 1 Benchmark'!$D$3='STEP 1 Benchmark'!$Q$7,'data for graph'!R66)</f>
        <v>231.66023166023163</v>
      </c>
    </row>
    <row r="67" spans="10:20" x14ac:dyDescent="0.25">
      <c r="J67" s="2" t="s">
        <v>309</v>
      </c>
      <c r="K67" s="37">
        <v>571.89542483660136</v>
      </c>
      <c r="L67" s="38">
        <f>K67*'STEP 1 Benchmark'!$L$11</f>
        <v>245.0980392156863</v>
      </c>
      <c r="M67" s="38">
        <f>K67*'STEP 1 Benchmark'!$L$11/'STEP 2 Detailed analysis'!$AF$23</f>
        <v>22.935779816513765</v>
      </c>
      <c r="N67" cm="1">
        <f t="array" ref="N67">_xlfn.IFS('STEP 1 Benchmark'!$D$3='STEP 1 Benchmark'!$Q$5,'data for graph'!M67,'STEP 1 Benchmark'!$D$3='STEP 1 Benchmark'!$Q$7,'data for graph'!L67)</f>
        <v>245.0980392156863</v>
      </c>
      <c r="P67" s="364"/>
      <c r="Q67" s="37">
        <v>546.73721340387999</v>
      </c>
      <c r="R67" s="38">
        <f>Q67*'STEP 1 Benchmark'!$L$11</f>
        <v>234.31594860166285</v>
      </c>
      <c r="S67" s="38">
        <f>Q67*'STEP 1 Benchmark'!$L$11/'STEP 2 Detailed analysis'!$AF$23</f>
        <v>21.926813538871205</v>
      </c>
      <c r="T67" cm="1">
        <f t="array" ref="T67">_xlfn.IFS('STEP 1 Benchmark'!$D$3='STEP 1 Benchmark'!$Q$5,'data for graph'!S67,'STEP 1 Benchmark'!$D$3='STEP 1 Benchmark'!$Q$7,'data for graph'!R67)</f>
        <v>234.31594860166285</v>
      </c>
    </row>
    <row r="68" spans="10:20" x14ac:dyDescent="0.25">
      <c r="J68" s="2" t="s">
        <v>313</v>
      </c>
      <c r="K68" s="37">
        <v>609.77564102564099</v>
      </c>
      <c r="L68" s="38">
        <f>K68*'STEP 1 Benchmark'!$L$11</f>
        <v>261.33241758241758</v>
      </c>
      <c r="M68" s="38">
        <f>K68*'STEP 1 Benchmark'!$L$11/'STEP 2 Detailed analysis'!$AF$23</f>
        <v>24.454960177437243</v>
      </c>
      <c r="N68" cm="1">
        <f t="array" ref="N68">_xlfn.IFS('STEP 1 Benchmark'!$D$3='STEP 1 Benchmark'!$Q$5,'data for graph'!M68,'STEP 1 Benchmark'!$D$3='STEP 1 Benchmark'!$Q$7,'data for graph'!L68)</f>
        <v>261.33241758241758</v>
      </c>
      <c r="P68" s="364"/>
      <c r="Q68" s="37">
        <v>555.55555555555554</v>
      </c>
      <c r="R68" s="38">
        <f>Q68*'STEP 1 Benchmark'!$L$11</f>
        <v>238.09523809523807</v>
      </c>
      <c r="S68" s="38">
        <f>Q68*'STEP 1 Benchmark'!$L$11/'STEP 2 Detailed analysis'!$AF$23</f>
        <v>22.280471821756226</v>
      </c>
      <c r="T68" cm="1">
        <f t="array" ref="T68">_xlfn.IFS('STEP 1 Benchmark'!$D$3='STEP 1 Benchmark'!$Q$5,'data for graph'!S68,'STEP 1 Benchmark'!$D$3='STEP 1 Benchmark'!$Q$7,'data for graph'!R68)</f>
        <v>238.09523809523807</v>
      </c>
    </row>
    <row r="69" spans="10:20" x14ac:dyDescent="0.25">
      <c r="J69" s="2" t="s">
        <v>313</v>
      </c>
      <c r="K69" s="37">
        <v>616.66666666666674</v>
      </c>
      <c r="L69" s="38">
        <f>K69*'STEP 1 Benchmark'!$L$11</f>
        <v>264.28571428571428</v>
      </c>
      <c r="M69" s="38">
        <f>K69*'STEP 1 Benchmark'!$L$11/'STEP 2 Detailed analysis'!$AF$23</f>
        <v>24.731323722149412</v>
      </c>
      <c r="N69" cm="1">
        <f t="array" ref="N69">_xlfn.IFS('STEP 1 Benchmark'!$D$3='STEP 1 Benchmark'!$Q$5,'data for graph'!M69,'STEP 1 Benchmark'!$D$3='STEP 1 Benchmark'!$Q$7,'data for graph'!L69)</f>
        <v>264.28571428571428</v>
      </c>
      <c r="P69" s="364"/>
      <c r="Q69" s="37">
        <v>609.77564102564099</v>
      </c>
      <c r="R69" s="38">
        <f>Q69*'STEP 1 Benchmark'!$L$11</f>
        <v>261.33241758241758</v>
      </c>
      <c r="S69" s="38">
        <f>Q69*'STEP 1 Benchmark'!$L$11/'STEP 2 Detailed analysis'!$AF$23</f>
        <v>24.454960177437243</v>
      </c>
      <c r="T69" cm="1">
        <f t="array" ref="T69">_xlfn.IFS('STEP 1 Benchmark'!$D$3='STEP 1 Benchmark'!$Q$5,'data for graph'!S69,'STEP 1 Benchmark'!$D$3='STEP 1 Benchmark'!$Q$7,'data for graph'!R69)</f>
        <v>261.33241758241758</v>
      </c>
    </row>
    <row r="70" spans="10:20" x14ac:dyDescent="0.25">
      <c r="J70" s="2" t="s">
        <v>313</v>
      </c>
      <c r="K70" s="37">
        <v>622.89562289562286</v>
      </c>
      <c r="L70" s="38">
        <f>K70*'STEP 1 Benchmark'!$L$11</f>
        <v>266.95526695526695</v>
      </c>
      <c r="M70" s="38">
        <f>K70*'STEP 1 Benchmark'!$L$11/'STEP 2 Detailed analysis'!$AF$23</f>
        <v>24.981135072878192</v>
      </c>
      <c r="N70" cm="1">
        <f t="array" ref="N70">_xlfn.IFS('STEP 1 Benchmark'!$D$3='STEP 1 Benchmark'!$Q$5,'data for graph'!M70,'STEP 1 Benchmark'!$D$3='STEP 1 Benchmark'!$Q$7,'data for graph'!L70)</f>
        <v>266.95526695526695</v>
      </c>
      <c r="P70" s="364"/>
      <c r="Q70" s="37">
        <v>616.66666666666674</v>
      </c>
      <c r="R70" s="38">
        <f>Q70*'STEP 1 Benchmark'!$L$11</f>
        <v>264.28571428571428</v>
      </c>
      <c r="S70" s="38">
        <f>Q70*'STEP 1 Benchmark'!$L$11/'STEP 2 Detailed analysis'!$AF$23</f>
        <v>24.731323722149412</v>
      </c>
      <c r="T70" cm="1">
        <f t="array" ref="T70">_xlfn.IFS('STEP 1 Benchmark'!$D$3='STEP 1 Benchmark'!$Q$5,'data for graph'!S70,'STEP 1 Benchmark'!$D$3='STEP 1 Benchmark'!$Q$7,'data for graph'!R70)</f>
        <v>264.28571428571428</v>
      </c>
    </row>
    <row r="71" spans="10:20" x14ac:dyDescent="0.25">
      <c r="J71" s="2" t="s">
        <v>313</v>
      </c>
      <c r="K71" s="37">
        <v>676.16959064327489</v>
      </c>
      <c r="L71" s="38">
        <f>K71*'STEP 1 Benchmark'!$L$11</f>
        <v>289.78696741854634</v>
      </c>
      <c r="M71" s="38">
        <f>K71*'STEP 1 Benchmark'!$L$11/'STEP 2 Detailed analysis'!$AF$23</f>
        <v>27.117679519900669</v>
      </c>
      <c r="N71" cm="1">
        <f t="array" ref="N71">_xlfn.IFS('STEP 1 Benchmark'!$D$3='STEP 1 Benchmark'!$Q$5,'data for graph'!M71,'STEP 1 Benchmark'!$D$3='STEP 1 Benchmark'!$Q$7,'data for graph'!L71)</f>
        <v>289.78696741854634</v>
      </c>
      <c r="P71" s="364"/>
      <c r="Q71" s="37">
        <v>622.89562289562286</v>
      </c>
      <c r="R71" s="38">
        <f>Q71*'STEP 1 Benchmark'!$L$11</f>
        <v>266.95526695526695</v>
      </c>
      <c r="S71" s="38">
        <f>Q71*'STEP 1 Benchmark'!$L$11/'STEP 2 Detailed analysis'!$AF$23</f>
        <v>24.981135072878192</v>
      </c>
      <c r="T71" cm="1">
        <f t="array" ref="T71">_xlfn.IFS('STEP 1 Benchmark'!$D$3='STEP 1 Benchmark'!$Q$5,'data for graph'!S71,'STEP 1 Benchmark'!$D$3='STEP 1 Benchmark'!$Q$7,'data for graph'!R71)</f>
        <v>266.95526695526695</v>
      </c>
    </row>
    <row r="72" spans="10:20" x14ac:dyDescent="0.25">
      <c r="J72" s="2" t="s">
        <v>310</v>
      </c>
      <c r="K72" s="37">
        <v>735.29411764705878</v>
      </c>
      <c r="L72" s="38">
        <f>K72*'STEP 1 Benchmark'!$L$11</f>
        <v>315.12605042016804</v>
      </c>
      <c r="M72" s="38">
        <f>K72*'STEP 1 Benchmark'!$L$11/'STEP 2 Detailed analysis'!$AF$23</f>
        <v>29.488859764089121</v>
      </c>
      <c r="N72" cm="1">
        <f t="array" ref="N72">_xlfn.IFS('STEP 1 Benchmark'!$D$3='STEP 1 Benchmark'!$Q$5,'data for graph'!M72,'STEP 1 Benchmark'!$D$3='STEP 1 Benchmark'!$Q$7,'data for graph'!L72)</f>
        <v>315.12605042016804</v>
      </c>
      <c r="P72" s="364"/>
      <c r="Q72" s="37">
        <v>676.16959064327489</v>
      </c>
      <c r="R72" s="38">
        <f>Q72*'STEP 1 Benchmark'!$L$11</f>
        <v>289.78696741854634</v>
      </c>
      <c r="S72" s="38">
        <f>Q72*'STEP 1 Benchmark'!$L$11/'STEP 2 Detailed analysis'!$AF$23</f>
        <v>27.117679519900669</v>
      </c>
      <c r="T72" cm="1">
        <f t="array" ref="T72">_xlfn.IFS('STEP 1 Benchmark'!$D$3='STEP 1 Benchmark'!$Q$5,'data for graph'!S72,'STEP 1 Benchmark'!$D$3='STEP 1 Benchmark'!$Q$7,'data for graph'!R72)</f>
        <v>289.78696741854634</v>
      </c>
    </row>
    <row r="73" spans="10:20" x14ac:dyDescent="0.25">
      <c r="J73" s="2" t="s">
        <v>309</v>
      </c>
      <c r="K73" s="37">
        <v>740.74074074074065</v>
      </c>
      <c r="L73" s="38">
        <f>K73*'STEP 1 Benchmark'!$L$11</f>
        <v>317.46031746031741</v>
      </c>
      <c r="M73" s="38">
        <f>K73*'STEP 1 Benchmark'!$L$11/'STEP 2 Detailed analysis'!$AF$23</f>
        <v>29.70729576234163</v>
      </c>
      <c r="N73" cm="1">
        <f t="array" ref="N73">_xlfn.IFS('STEP 1 Benchmark'!$D$3='STEP 1 Benchmark'!$Q$5,'data for graph'!M73,'STEP 1 Benchmark'!$D$3='STEP 1 Benchmark'!$Q$7,'data for graph'!L73)</f>
        <v>317.46031746031741</v>
      </c>
      <c r="P73" s="2" t="s">
        <v>308</v>
      </c>
      <c r="Q73" s="37">
        <v>219.46564885496184</v>
      </c>
      <c r="R73" s="38">
        <f>Q73*'STEP 1 Benchmark'!$L$11</f>
        <v>94.056706652126493</v>
      </c>
      <c r="S73" s="38">
        <f>Q73*'STEP 1 Benchmark'!$L$11/'STEP 2 Detailed analysis'!$AF$23</f>
        <v>8.8016367692815631</v>
      </c>
      <c r="T73" cm="1">
        <f t="array" ref="T73">_xlfn.IFS('STEP 1 Benchmark'!$D$3='STEP 1 Benchmark'!$Q$5,'data for graph'!S73,'STEP 1 Benchmark'!$D$3='STEP 1 Benchmark'!$Q$7,'data for graph'!R73)</f>
        <v>94.056706652126493</v>
      </c>
    </row>
  </sheetData>
  <sortState xmlns:xlrd2="http://schemas.microsoft.com/office/spreadsheetml/2017/richdata2" ref="P6:T70">
    <sortCondition ref="P6:P70"/>
  </sortState>
  <mergeCells count="11">
    <mergeCell ref="AA3:AD3"/>
    <mergeCell ref="P57:P72"/>
    <mergeCell ref="P55:P56"/>
    <mergeCell ref="P18:P24"/>
    <mergeCell ref="P3:T3"/>
    <mergeCell ref="V3:Z3"/>
    <mergeCell ref="P6:P12"/>
    <mergeCell ref="P13:P15"/>
    <mergeCell ref="P16:P17"/>
    <mergeCell ref="P25:P45"/>
    <mergeCell ref="P47:P54"/>
  </mergeCells>
  <conditionalFormatting sqref="AE6:AE8">
    <cfRule type="colorScale" priority="8">
      <colorScale>
        <cfvo type="min"/>
        <cfvo type="percentile" val="50"/>
        <cfvo type="max"/>
        <color rgb="FFF8696B"/>
        <color rgb="FFFFEB84"/>
        <color rgb="FF63BE7B"/>
      </colorScale>
    </cfRule>
  </conditionalFormatting>
  <conditionalFormatting sqref="AE9:AE13">
    <cfRule type="colorScale" priority="7">
      <colorScale>
        <cfvo type="min"/>
        <cfvo type="percentile" val="50"/>
        <cfvo type="max"/>
        <color rgb="FFF8696B"/>
        <color rgb="FFFFEB84"/>
        <color rgb="FF63BE7B"/>
      </colorScale>
    </cfRule>
  </conditionalFormatting>
  <conditionalFormatting sqref="AE14:AE30">
    <cfRule type="colorScale" priority="6">
      <colorScale>
        <cfvo type="min"/>
        <cfvo type="percentile" val="50"/>
        <cfvo type="max"/>
        <color rgb="FFF8696B"/>
        <color rgb="FFFFEB84"/>
        <color rgb="FF63BE7B"/>
      </colorScale>
    </cfRule>
  </conditionalFormatting>
  <conditionalFormatting sqref="AE31">
    <cfRule type="colorScale" priority="5">
      <colorScale>
        <cfvo type="min"/>
        <cfvo type="percentile" val="50"/>
        <cfvo type="max"/>
        <color rgb="FFF8696B"/>
        <color rgb="FFFFEB84"/>
        <color rgb="FF63BE7B"/>
      </colorScale>
    </cfRule>
  </conditionalFormatting>
  <conditionalFormatting sqref="AE32:AE41">
    <cfRule type="colorScale" priority="148">
      <colorScale>
        <cfvo type="min"/>
        <cfvo type="percentile" val="50"/>
        <cfvo type="max"/>
        <color rgb="FFF8696B"/>
        <color rgb="FFFFEB84"/>
        <color rgb="FF63BE7B"/>
      </colorScale>
    </cfRule>
  </conditionalFormatting>
  <conditionalFormatting sqref="AE42">
    <cfRule type="colorScale" priority="3">
      <colorScale>
        <cfvo type="min"/>
        <cfvo type="percentile" val="50"/>
        <cfvo type="max"/>
        <color rgb="FFF8696B"/>
        <color rgb="FFFFEB84"/>
        <color rgb="FF63BE7B"/>
      </colorScale>
    </cfRule>
  </conditionalFormatting>
  <conditionalFormatting sqref="AE43:AE48">
    <cfRule type="colorScale" priority="149">
      <colorScale>
        <cfvo type="min"/>
        <cfvo type="percentile" val="50"/>
        <cfvo type="max"/>
        <color rgb="FFF8696B"/>
        <color rgb="FFFFEB84"/>
        <color rgb="FF63BE7B"/>
      </colorScale>
    </cfRule>
  </conditionalFormatting>
  <conditionalFormatting sqref="AE49:AE53">
    <cfRule type="colorScale" priority="150">
      <colorScale>
        <cfvo type="min"/>
        <cfvo type="percentile" val="50"/>
        <cfvo type="max"/>
        <color rgb="FFF8696B"/>
        <color rgb="FFFFEB84"/>
        <color rgb="FF63BE7B"/>
      </colorScale>
    </cfRule>
  </conditionalFormatting>
  <pageMargins left="0.7" right="0.7" top="0.75" bottom="0.75" header="0.3" footer="0.3"/>
  <pageSetup paperSize="9" orientation="portrait" horizontalDpi="90" verticalDpi="90" r:id="rId1"/>
  <headerFooter>
    <oddHeader>&amp;C&amp;"Calibri"&amp;12&amp;K000000UNOFFICIAL&amp;1#</oddHeader>
    <oddFooter>&amp;C&amp;1#&amp;"Calibri"&amp;12&amp;K000000UNOFFICIAL</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5E2DB-9D9E-4960-803B-69DB41EEAF85}">
  <sheetPr>
    <tabColor rgb="FF92D050"/>
  </sheetPr>
  <dimension ref="A1:AG37"/>
  <sheetViews>
    <sheetView showGridLines="0" workbookViewId="0">
      <selection activeCell="H8" sqref="H8:I9"/>
    </sheetView>
  </sheetViews>
  <sheetFormatPr defaultRowHeight="15" x14ac:dyDescent="0.25"/>
  <cols>
    <col min="1" max="1" width="3.140625" style="59" customWidth="1"/>
    <col min="2" max="2" width="15.5703125" style="59" customWidth="1"/>
    <col min="3" max="3" width="17.28515625" style="59" customWidth="1"/>
    <col min="4" max="4" width="18.42578125" style="59" customWidth="1"/>
    <col min="5" max="5" width="2.42578125" style="59" customWidth="1"/>
    <col min="6" max="6" width="14.28515625" style="59" customWidth="1"/>
    <col min="7" max="7" width="13.85546875" style="59" customWidth="1"/>
    <col min="8" max="8" width="12.5703125" style="59" customWidth="1"/>
    <col min="9" max="9" width="7.5703125" style="59" customWidth="1"/>
    <col min="10" max="10" width="4.7109375" style="59" customWidth="1"/>
    <col min="11" max="11" width="25.28515625" style="59" customWidth="1"/>
    <col min="12" max="12" width="13.7109375" style="59" customWidth="1"/>
    <col min="13" max="13" width="11.85546875" style="59" customWidth="1"/>
    <col min="14" max="14" width="7.5703125" style="59" customWidth="1"/>
    <col min="15" max="15" width="136.28515625" style="59" customWidth="1"/>
    <col min="16" max="16" width="4.5703125" style="59" customWidth="1"/>
    <col min="17" max="17" width="14.85546875" style="59" bestFit="1" customWidth="1"/>
    <col min="18" max="18" width="10.140625" style="59" bestFit="1" customWidth="1"/>
    <col min="19" max="19" width="14" style="59" bestFit="1" customWidth="1"/>
    <col min="20" max="20" width="45.28515625" style="59" customWidth="1"/>
    <col min="21" max="21" width="26.28515625" style="59" customWidth="1"/>
    <col min="22" max="22" width="17.85546875" style="59" bestFit="1" customWidth="1"/>
    <col min="23" max="23" width="15.140625" style="59" customWidth="1"/>
    <col min="24" max="16384" width="9.140625" style="59"/>
  </cols>
  <sheetData>
    <row r="1" spans="1:33" ht="16.5" thickTop="1" thickBot="1" x14ac:dyDescent="0.3">
      <c r="A1" s="56"/>
      <c r="B1" s="57" t="s">
        <v>342</v>
      </c>
      <c r="C1" s="58"/>
      <c r="N1" s="60"/>
    </row>
    <row r="2" spans="1:33" ht="6.75" customHeight="1" thickTop="1" x14ac:dyDescent="0.25">
      <c r="U2" s="59" t="str">
        <f>VLOOKUP(B8,T5:U8,2,FALSE)</f>
        <v>Input</v>
      </c>
    </row>
    <row r="3" spans="1:33" ht="26.25" customHeight="1" x14ac:dyDescent="0.25">
      <c r="B3" s="253" t="s">
        <v>0</v>
      </c>
      <c r="C3" s="253"/>
      <c r="D3" s="52" t="s">
        <v>1</v>
      </c>
      <c r="F3" s="253" t="s">
        <v>2</v>
      </c>
      <c r="G3" s="253"/>
      <c r="H3" s="253"/>
      <c r="I3" s="253"/>
      <c r="K3" s="253" t="s">
        <v>3</v>
      </c>
      <c r="L3" s="253"/>
      <c r="M3" s="253"/>
      <c r="N3" s="253"/>
      <c r="Q3" s="59" t="s">
        <v>0</v>
      </c>
      <c r="R3" s="59" t="s">
        <v>4</v>
      </c>
      <c r="S3" s="59" t="s">
        <v>5</v>
      </c>
    </row>
    <row r="4" spans="1:33" ht="9" customHeight="1" x14ac:dyDescent="0.25">
      <c r="B4" s="61"/>
      <c r="C4" s="61"/>
      <c r="D4" s="62"/>
      <c r="F4" s="61"/>
      <c r="G4" s="61"/>
      <c r="H4" s="61"/>
      <c r="I4" s="61"/>
      <c r="K4" s="61"/>
      <c r="L4" s="61"/>
      <c r="M4" s="61"/>
      <c r="N4" s="61"/>
    </row>
    <row r="5" spans="1:33" x14ac:dyDescent="0.25">
      <c r="B5" s="256" t="s">
        <v>6</v>
      </c>
      <c r="C5" s="256"/>
      <c r="D5" s="252" t="s">
        <v>7</v>
      </c>
      <c r="F5" s="256" t="s">
        <v>360</v>
      </c>
      <c r="G5" s="256"/>
      <c r="H5" s="252" t="s">
        <v>7</v>
      </c>
      <c r="I5" s="252"/>
      <c r="K5" s="63"/>
      <c r="L5" s="64" t="s">
        <v>8</v>
      </c>
      <c r="M5" s="64" t="s">
        <v>9</v>
      </c>
      <c r="N5" s="63"/>
      <c r="Q5" s="59" t="s">
        <v>10</v>
      </c>
      <c r="R5" s="59" t="s">
        <v>7</v>
      </c>
      <c r="S5" s="59" t="str">
        <f>Q5&amp;R5</f>
        <v>DieselYes</v>
      </c>
      <c r="T5" s="59" t="s">
        <v>11</v>
      </c>
      <c r="U5" s="59" t="s">
        <v>12</v>
      </c>
      <c r="X5" s="254" t="s">
        <v>13</v>
      </c>
      <c r="Y5" s="254"/>
      <c r="Z5" s="254"/>
      <c r="AA5" s="254"/>
    </row>
    <row r="6" spans="1:33" x14ac:dyDescent="0.25">
      <c r="B6" s="256"/>
      <c r="C6" s="256"/>
      <c r="D6" s="252"/>
      <c r="F6" s="256"/>
      <c r="G6" s="256"/>
      <c r="H6" s="252"/>
      <c r="I6" s="252"/>
      <c r="K6" s="64" t="str">
        <f>D3</f>
        <v>Electricity</v>
      </c>
      <c r="L6" s="65">
        <f>SUM(S9:S20)</f>
        <v>60000</v>
      </c>
      <c r="M6" s="66">
        <f>SUM(T9:T20)</f>
        <v>140000</v>
      </c>
      <c r="N6" s="63" t="str">
        <f>VLOOKUP((D3),AE6:AF7,2, FALSE)</f>
        <v>kWh</v>
      </c>
      <c r="Q6" s="59" t="s">
        <v>10</v>
      </c>
      <c r="R6" s="59" t="s">
        <v>14</v>
      </c>
      <c r="S6" s="59" t="str">
        <f>Q6&amp;R6</f>
        <v>DieselNo</v>
      </c>
      <c r="T6" s="59" t="s">
        <v>15</v>
      </c>
      <c r="U6" s="59" t="s">
        <v>16</v>
      </c>
      <c r="V6" s="59" t="s">
        <v>17</v>
      </c>
      <c r="W6" s="59" t="s">
        <v>18</v>
      </c>
      <c r="X6" s="59" t="s">
        <v>19</v>
      </c>
      <c r="Y6" s="59" t="s">
        <v>20</v>
      </c>
      <c r="Z6" s="59" t="s">
        <v>21</v>
      </c>
      <c r="AA6" s="59" t="s">
        <v>22</v>
      </c>
      <c r="AB6" s="59" t="s">
        <v>14</v>
      </c>
      <c r="AD6" s="59" t="s">
        <v>23</v>
      </c>
      <c r="AE6" s="59" t="s">
        <v>10</v>
      </c>
      <c r="AF6" s="59" t="s">
        <v>24</v>
      </c>
      <c r="AG6" s="59" t="s">
        <v>25</v>
      </c>
    </row>
    <row r="7" spans="1:33" x14ac:dyDescent="0.25">
      <c r="K7" s="64" t="s">
        <v>26</v>
      </c>
      <c r="L7" s="76"/>
      <c r="M7" s="67">
        <f>IF(I11="ML", SUM(T26:T37),SUM(T26:T37)/1000)</f>
        <v>400</v>
      </c>
      <c r="N7" s="63" t="s">
        <v>23</v>
      </c>
      <c r="Q7" s="59" t="s">
        <v>1</v>
      </c>
      <c r="R7" s="59" t="s">
        <v>7</v>
      </c>
      <c r="S7" s="59" t="str">
        <f>Q7&amp;R7</f>
        <v>ElectricityYes</v>
      </c>
      <c r="T7" s="59" t="s">
        <v>27</v>
      </c>
      <c r="U7" s="59" t="s">
        <v>12</v>
      </c>
      <c r="V7" s="59" t="s">
        <v>20</v>
      </c>
      <c r="W7" s="59" t="s">
        <v>20</v>
      </c>
      <c r="X7" s="59">
        <v>1</v>
      </c>
      <c r="Y7" s="59" t="s">
        <v>28</v>
      </c>
      <c r="Z7" s="59" t="s">
        <v>29</v>
      </c>
      <c r="AA7" s="59" t="s">
        <v>30</v>
      </c>
      <c r="AB7" s="59" t="s">
        <v>31</v>
      </c>
      <c r="AD7" s="59" t="s">
        <v>32</v>
      </c>
      <c r="AE7" s="59" t="s">
        <v>1</v>
      </c>
      <c r="AF7" s="59" t="s">
        <v>33</v>
      </c>
      <c r="AG7" s="59" t="s">
        <v>34</v>
      </c>
    </row>
    <row r="8" spans="1:33" x14ac:dyDescent="0.25">
      <c r="B8" s="255" t="str">
        <f>VLOOKUP((D3&amp;D5),S5:T8,2, FALSE)</f>
        <v>How would you like to input your electricity data?</v>
      </c>
      <c r="C8" s="255"/>
      <c r="D8" s="252" t="s">
        <v>20</v>
      </c>
      <c r="F8" s="255" t="str">
        <f>VLOOKUP(H5,S24:T25,2, FALSE)</f>
        <v>How would you like to input your water data?</v>
      </c>
      <c r="G8" s="255"/>
      <c r="H8" s="252" t="s">
        <v>20</v>
      </c>
      <c r="I8" s="252"/>
      <c r="K8" s="68"/>
      <c r="Q8" s="59" t="s">
        <v>1</v>
      </c>
      <c r="R8" s="59" t="s">
        <v>14</v>
      </c>
      <c r="S8" s="59" t="str">
        <f>Q8&amp;R8</f>
        <v>ElectricityNo</v>
      </c>
      <c r="T8" s="59" t="s">
        <v>35</v>
      </c>
      <c r="U8" s="59" t="s">
        <v>16</v>
      </c>
      <c r="V8" s="59" t="s">
        <v>21</v>
      </c>
      <c r="W8" s="59" t="s">
        <v>21</v>
      </c>
      <c r="X8" s="59">
        <v>2</v>
      </c>
      <c r="Z8" s="59" t="s">
        <v>36</v>
      </c>
      <c r="AA8" s="59" t="s">
        <v>37</v>
      </c>
    </row>
    <row r="9" spans="1:33" ht="15.75" customHeight="1" x14ac:dyDescent="0.25">
      <c r="B9" s="255"/>
      <c r="C9" s="255"/>
      <c r="D9" s="252"/>
      <c r="F9" s="255"/>
      <c r="G9" s="255"/>
      <c r="H9" s="252"/>
      <c r="I9" s="252"/>
      <c r="K9" s="253" t="s">
        <v>38</v>
      </c>
      <c r="L9" s="253"/>
      <c r="M9" s="253"/>
      <c r="N9" s="253"/>
      <c r="R9" s="59">
        <f t="shared" ref="R9:R20" si="0">IF(B12 = 0,0,1)</f>
        <v>1</v>
      </c>
      <c r="S9" s="59">
        <f t="shared" ref="S9:S20" si="1">C12*$R9</f>
        <v>60000</v>
      </c>
      <c r="T9" s="59">
        <f t="shared" ref="T9:T20" si="2">D12*$R9</f>
        <v>140000</v>
      </c>
      <c r="V9" s="59" t="s">
        <v>22</v>
      </c>
      <c r="W9" s="59" t="s">
        <v>22</v>
      </c>
      <c r="X9" s="59">
        <v>3</v>
      </c>
      <c r="Z9" s="59" t="s">
        <v>39</v>
      </c>
      <c r="AA9" s="59" t="s">
        <v>40</v>
      </c>
    </row>
    <row r="10" spans="1:33" x14ac:dyDescent="0.25">
      <c r="K10" s="253"/>
      <c r="L10" s="253"/>
      <c r="M10" s="253"/>
      <c r="N10" s="253"/>
      <c r="R10" s="59">
        <f t="shared" si="0"/>
        <v>0</v>
      </c>
      <c r="S10" s="59">
        <f t="shared" si="1"/>
        <v>0</v>
      </c>
      <c r="T10" s="59">
        <f t="shared" si="2"/>
        <v>0</v>
      </c>
      <c r="W10" s="59" t="s">
        <v>14</v>
      </c>
      <c r="X10" s="59">
        <v>4</v>
      </c>
      <c r="Z10" s="59" t="s">
        <v>41</v>
      </c>
      <c r="AA10" s="59" t="s">
        <v>42</v>
      </c>
    </row>
    <row r="11" spans="1:33" ht="17.25" x14ac:dyDescent="0.3">
      <c r="B11" s="63"/>
      <c r="C11" s="69" t="s">
        <v>8</v>
      </c>
      <c r="D11" s="69" t="str">
        <f>"Usage " &amp; VLOOKUP((D3),AE6:AF7,2, FALSE)</f>
        <v>Usage kWh</v>
      </c>
      <c r="F11" s="63"/>
      <c r="G11" s="69"/>
      <c r="H11" s="69" t="s">
        <v>9</v>
      </c>
      <c r="I11" s="23" t="s">
        <v>23</v>
      </c>
      <c r="K11" s="70" t="s">
        <v>43</v>
      </c>
      <c r="L11" s="71">
        <f>L6/M6</f>
        <v>0.42857142857142855</v>
      </c>
      <c r="M11" s="72" t="str">
        <f>"/" &amp; VLOOKUP((D3),AE6:AF7,2, FALSE)</f>
        <v>/kWh</v>
      </c>
      <c r="N11" s="63"/>
      <c r="R11" s="59">
        <f t="shared" si="0"/>
        <v>0</v>
      </c>
      <c r="S11" s="59">
        <f t="shared" si="1"/>
        <v>0</v>
      </c>
      <c r="T11" s="59">
        <f t="shared" si="2"/>
        <v>0</v>
      </c>
      <c r="X11" s="59">
        <v>5</v>
      </c>
      <c r="AA11" s="59" t="s">
        <v>44</v>
      </c>
    </row>
    <row r="12" spans="1:33" ht="17.25" x14ac:dyDescent="0.3">
      <c r="B12" s="77" t="str">
        <f t="shared" ref="B12:B23" si="3">HLOOKUP(D$8,Y$6:AB$18,X7+1,FALSE)</f>
        <v>Annual amount</v>
      </c>
      <c r="C12" s="22">
        <v>60000</v>
      </c>
      <c r="D12" s="54">
        <v>140000</v>
      </c>
      <c r="F12" s="258" t="str">
        <f>HLOOKUP(H$8,Y$6:AB$18,X7+1,FALSE)</f>
        <v>Annual amount</v>
      </c>
      <c r="G12" s="258"/>
      <c r="H12" s="257">
        <v>400</v>
      </c>
      <c r="I12" s="257"/>
      <c r="K12" s="73" t="s">
        <v>45</v>
      </c>
      <c r="L12" s="74">
        <f>L6/M7</f>
        <v>150</v>
      </c>
      <c r="M12" s="72" t="s">
        <v>46</v>
      </c>
      <c r="N12" s="63"/>
      <c r="R12" s="59">
        <f t="shared" si="0"/>
        <v>0</v>
      </c>
      <c r="S12" s="59">
        <f t="shared" si="1"/>
        <v>0</v>
      </c>
      <c r="T12" s="59">
        <f t="shared" si="2"/>
        <v>0</v>
      </c>
      <c r="X12" s="59">
        <v>6</v>
      </c>
      <c r="AA12" s="59" t="s">
        <v>47</v>
      </c>
    </row>
    <row r="13" spans="1:33" ht="17.25" x14ac:dyDescent="0.3">
      <c r="B13" s="77">
        <f t="shared" si="3"/>
        <v>0</v>
      </c>
      <c r="C13" s="22"/>
      <c r="D13" s="54"/>
      <c r="F13" s="258">
        <f>HLOOKUP(H$8,Y$6:AB$18,X8+1,FALSE)</f>
        <v>0</v>
      </c>
      <c r="G13" s="258"/>
      <c r="H13" s="257"/>
      <c r="I13" s="257"/>
      <c r="K13" s="73" t="s">
        <v>48</v>
      </c>
      <c r="L13" s="75">
        <f>M6/M7</f>
        <v>350</v>
      </c>
      <c r="M13" s="72" t="str">
        <f>VLOOKUP((D3),AE6:AF7,2, FALSE)&amp;"/ML"</f>
        <v>kWh/ML</v>
      </c>
      <c r="N13" s="63"/>
      <c r="R13" s="59">
        <f t="shared" si="0"/>
        <v>0</v>
      </c>
      <c r="S13" s="59">
        <f t="shared" si="1"/>
        <v>0</v>
      </c>
      <c r="T13" s="59">
        <f t="shared" si="2"/>
        <v>0</v>
      </c>
      <c r="X13" s="59">
        <v>7</v>
      </c>
      <c r="AA13" s="59" t="s">
        <v>49</v>
      </c>
    </row>
    <row r="14" spans="1:33" x14ac:dyDescent="0.25">
      <c r="B14" s="77">
        <f t="shared" si="3"/>
        <v>0</v>
      </c>
      <c r="C14" s="22"/>
      <c r="D14" s="54"/>
      <c r="F14" s="258">
        <f t="shared" ref="F14:F23" si="4">HLOOKUP(H$8,Y$6:AB$18,X9+1,FALSE)</f>
        <v>0</v>
      </c>
      <c r="G14" s="258"/>
      <c r="H14" s="257"/>
      <c r="I14" s="257"/>
      <c r="R14" s="59">
        <f t="shared" si="0"/>
        <v>0</v>
      </c>
      <c r="S14" s="59">
        <f t="shared" si="1"/>
        <v>0</v>
      </c>
      <c r="T14" s="59">
        <f t="shared" si="2"/>
        <v>0</v>
      </c>
      <c r="X14" s="59">
        <v>8</v>
      </c>
      <c r="AA14" s="59" t="s">
        <v>50</v>
      </c>
    </row>
    <row r="15" spans="1:33" x14ac:dyDescent="0.25">
      <c r="B15" s="77">
        <f t="shared" si="3"/>
        <v>0</v>
      </c>
      <c r="C15" s="22"/>
      <c r="D15" s="54"/>
      <c r="F15" s="258">
        <f t="shared" si="4"/>
        <v>0</v>
      </c>
      <c r="G15" s="258"/>
      <c r="H15" s="257"/>
      <c r="I15" s="257"/>
      <c r="R15" s="59">
        <f t="shared" si="0"/>
        <v>0</v>
      </c>
      <c r="S15" s="59">
        <f t="shared" si="1"/>
        <v>0</v>
      </c>
      <c r="T15" s="59">
        <f t="shared" si="2"/>
        <v>0</v>
      </c>
      <c r="X15" s="59">
        <v>9</v>
      </c>
      <c r="AA15" s="59" t="s">
        <v>51</v>
      </c>
    </row>
    <row r="16" spans="1:33" x14ac:dyDescent="0.25">
      <c r="B16" s="77">
        <f t="shared" si="3"/>
        <v>0</v>
      </c>
      <c r="C16" s="22"/>
      <c r="D16" s="54"/>
      <c r="F16" s="258">
        <f t="shared" si="4"/>
        <v>0</v>
      </c>
      <c r="G16" s="258"/>
      <c r="H16" s="257"/>
      <c r="I16" s="257"/>
      <c r="R16" s="59">
        <f t="shared" si="0"/>
        <v>0</v>
      </c>
      <c r="S16" s="59">
        <f t="shared" si="1"/>
        <v>0</v>
      </c>
      <c r="T16" s="59">
        <f t="shared" si="2"/>
        <v>0</v>
      </c>
      <c r="X16" s="59">
        <v>10</v>
      </c>
      <c r="AA16" s="59" t="s">
        <v>52</v>
      </c>
    </row>
    <row r="17" spans="2:27" x14ac:dyDescent="0.25">
      <c r="B17" s="77">
        <f t="shared" si="3"/>
        <v>0</v>
      </c>
      <c r="C17" s="22"/>
      <c r="D17" s="54"/>
      <c r="F17" s="258">
        <f t="shared" si="4"/>
        <v>0</v>
      </c>
      <c r="G17" s="258"/>
      <c r="H17" s="257"/>
      <c r="I17" s="257"/>
      <c r="R17" s="59">
        <f t="shared" si="0"/>
        <v>0</v>
      </c>
      <c r="S17" s="59">
        <f t="shared" si="1"/>
        <v>0</v>
      </c>
      <c r="T17" s="59">
        <f t="shared" si="2"/>
        <v>0</v>
      </c>
      <c r="X17" s="59">
        <v>11</v>
      </c>
      <c r="AA17" s="59" t="s">
        <v>53</v>
      </c>
    </row>
    <row r="18" spans="2:27" ht="14.25" customHeight="1" x14ac:dyDescent="0.25">
      <c r="B18" s="77">
        <f t="shared" si="3"/>
        <v>0</v>
      </c>
      <c r="C18" s="22"/>
      <c r="D18" s="54"/>
      <c r="F18" s="258">
        <f t="shared" si="4"/>
        <v>0</v>
      </c>
      <c r="G18" s="258"/>
      <c r="H18" s="257"/>
      <c r="I18" s="257"/>
      <c r="R18" s="59">
        <f t="shared" si="0"/>
        <v>0</v>
      </c>
      <c r="S18" s="59">
        <f t="shared" si="1"/>
        <v>0</v>
      </c>
      <c r="T18" s="59">
        <f t="shared" si="2"/>
        <v>0</v>
      </c>
      <c r="X18" s="59">
        <v>12</v>
      </c>
      <c r="AA18" s="59" t="s">
        <v>54</v>
      </c>
    </row>
    <row r="19" spans="2:27" x14ac:dyDescent="0.25">
      <c r="B19" s="77">
        <f t="shared" si="3"/>
        <v>0</v>
      </c>
      <c r="C19" s="22"/>
      <c r="D19" s="54"/>
      <c r="F19" s="258">
        <f t="shared" si="4"/>
        <v>0</v>
      </c>
      <c r="G19" s="258"/>
      <c r="H19" s="257"/>
      <c r="I19" s="257"/>
      <c r="R19" s="59">
        <f t="shared" si="0"/>
        <v>0</v>
      </c>
      <c r="S19" s="59">
        <f t="shared" si="1"/>
        <v>0</v>
      </c>
      <c r="T19" s="59">
        <f t="shared" si="2"/>
        <v>0</v>
      </c>
    </row>
    <row r="20" spans="2:27" x14ac:dyDescent="0.25">
      <c r="B20" s="77">
        <f t="shared" si="3"/>
        <v>0</v>
      </c>
      <c r="C20" s="22"/>
      <c r="D20" s="54"/>
      <c r="F20" s="258">
        <f t="shared" si="4"/>
        <v>0</v>
      </c>
      <c r="G20" s="258"/>
      <c r="H20" s="257"/>
      <c r="I20" s="257"/>
      <c r="R20" s="59">
        <f t="shared" si="0"/>
        <v>0</v>
      </c>
      <c r="S20" s="59">
        <f t="shared" si="1"/>
        <v>0</v>
      </c>
      <c r="T20" s="59">
        <f t="shared" si="2"/>
        <v>0</v>
      </c>
    </row>
    <row r="21" spans="2:27" x14ac:dyDescent="0.25">
      <c r="B21" s="77">
        <f t="shared" si="3"/>
        <v>0</v>
      </c>
      <c r="C21" s="22"/>
      <c r="D21" s="54"/>
      <c r="F21" s="258">
        <f t="shared" si="4"/>
        <v>0</v>
      </c>
      <c r="G21" s="258"/>
      <c r="H21" s="257"/>
      <c r="I21" s="257"/>
    </row>
    <row r="22" spans="2:27" x14ac:dyDescent="0.25">
      <c r="B22" s="77">
        <f t="shared" si="3"/>
        <v>0</v>
      </c>
      <c r="C22" s="22"/>
      <c r="D22" s="54"/>
      <c r="F22" s="258">
        <f t="shared" si="4"/>
        <v>0</v>
      </c>
      <c r="G22" s="258"/>
      <c r="H22" s="257"/>
      <c r="I22" s="257"/>
    </row>
    <row r="23" spans="2:27" ht="15" customHeight="1" x14ac:dyDescent="0.25">
      <c r="B23" s="77">
        <f t="shared" si="3"/>
        <v>0</v>
      </c>
      <c r="C23" s="22"/>
      <c r="D23" s="54"/>
      <c r="F23" s="258">
        <f t="shared" si="4"/>
        <v>0</v>
      </c>
      <c r="G23" s="258"/>
      <c r="H23" s="257"/>
      <c r="I23" s="257"/>
      <c r="U23" s="59" t="str">
        <f>VLOOKUP(F8,T24:U25,2,FALSE)</f>
        <v>Input</v>
      </c>
    </row>
    <row r="24" spans="2:27" x14ac:dyDescent="0.25">
      <c r="S24" s="59" t="s">
        <v>7</v>
      </c>
      <c r="T24" s="59" t="s">
        <v>55</v>
      </c>
      <c r="U24" s="59" t="s">
        <v>12</v>
      </c>
    </row>
    <row r="25" spans="2:27" x14ac:dyDescent="0.25">
      <c r="S25" s="59" t="s">
        <v>14</v>
      </c>
      <c r="T25" s="59" t="s">
        <v>56</v>
      </c>
      <c r="U25" s="59" t="s">
        <v>16</v>
      </c>
    </row>
    <row r="26" spans="2:27" x14ac:dyDescent="0.25">
      <c r="R26" s="59">
        <f>IF(F12 = 0,0,1)</f>
        <v>1</v>
      </c>
      <c r="S26" s="59" t="e">
        <f>#REF!*$R26</f>
        <v>#REF!</v>
      </c>
      <c r="T26" s="59">
        <f t="shared" ref="T26:T37" si="5">H12*$R26</f>
        <v>400</v>
      </c>
    </row>
    <row r="27" spans="2:27" x14ac:dyDescent="0.25">
      <c r="R27" s="59">
        <f>IF(F13 = 0,0,1)</f>
        <v>0</v>
      </c>
      <c r="S27" s="59" t="e">
        <f>#REF!*$R27</f>
        <v>#REF!</v>
      </c>
      <c r="T27" s="59">
        <f t="shared" si="5"/>
        <v>0</v>
      </c>
    </row>
    <row r="28" spans="2:27" x14ac:dyDescent="0.25">
      <c r="R28" s="59">
        <f t="shared" ref="R28:R37" si="6">IF(G14 = 0,0,1)</f>
        <v>0</v>
      </c>
      <c r="S28" s="59" t="e">
        <f>#REF!*$R28</f>
        <v>#REF!</v>
      </c>
      <c r="T28" s="59">
        <f t="shared" si="5"/>
        <v>0</v>
      </c>
    </row>
    <row r="29" spans="2:27" x14ac:dyDescent="0.25">
      <c r="R29" s="59">
        <f t="shared" si="6"/>
        <v>0</v>
      </c>
      <c r="S29" s="59" t="e">
        <f>#REF!*$R29</f>
        <v>#REF!</v>
      </c>
      <c r="T29" s="59">
        <f t="shared" si="5"/>
        <v>0</v>
      </c>
    </row>
    <row r="30" spans="2:27" x14ac:dyDescent="0.25">
      <c r="R30" s="59">
        <f t="shared" si="6"/>
        <v>0</v>
      </c>
      <c r="S30" s="59" t="e">
        <f>#REF!*$R30</f>
        <v>#REF!</v>
      </c>
      <c r="T30" s="59">
        <f t="shared" si="5"/>
        <v>0</v>
      </c>
    </row>
    <row r="31" spans="2:27" x14ac:dyDescent="0.25">
      <c r="R31" s="59">
        <f t="shared" si="6"/>
        <v>0</v>
      </c>
      <c r="S31" s="59" t="e">
        <f>#REF!*$R31</f>
        <v>#REF!</v>
      </c>
      <c r="T31" s="59">
        <f t="shared" si="5"/>
        <v>0</v>
      </c>
    </row>
    <row r="32" spans="2:27" x14ac:dyDescent="0.25">
      <c r="R32" s="59">
        <f t="shared" si="6"/>
        <v>0</v>
      </c>
      <c r="S32" s="59" t="e">
        <f>#REF!*$R32</f>
        <v>#REF!</v>
      </c>
      <c r="T32" s="59">
        <f t="shared" si="5"/>
        <v>0</v>
      </c>
    </row>
    <row r="33" spans="18:20" x14ac:dyDescent="0.25">
      <c r="R33" s="59">
        <f t="shared" si="6"/>
        <v>0</v>
      </c>
      <c r="S33" s="59" t="e">
        <f>#REF!*$R33</f>
        <v>#REF!</v>
      </c>
      <c r="T33" s="59">
        <f t="shared" si="5"/>
        <v>0</v>
      </c>
    </row>
    <row r="34" spans="18:20" x14ac:dyDescent="0.25">
      <c r="R34" s="59">
        <f t="shared" si="6"/>
        <v>0</v>
      </c>
      <c r="S34" s="59" t="e">
        <f>#REF!*$R34</f>
        <v>#REF!</v>
      </c>
      <c r="T34" s="59">
        <f t="shared" si="5"/>
        <v>0</v>
      </c>
    </row>
    <row r="35" spans="18:20" x14ac:dyDescent="0.25">
      <c r="R35" s="59">
        <f t="shared" si="6"/>
        <v>0</v>
      </c>
      <c r="S35" s="59" t="e">
        <f>#REF!*$R35</f>
        <v>#REF!</v>
      </c>
      <c r="T35" s="59">
        <f t="shared" si="5"/>
        <v>0</v>
      </c>
    </row>
    <row r="36" spans="18:20" x14ac:dyDescent="0.25">
      <c r="R36" s="59">
        <f t="shared" si="6"/>
        <v>0</v>
      </c>
      <c r="S36" s="59" t="e">
        <f>#REF!*$R36</f>
        <v>#REF!</v>
      </c>
      <c r="T36" s="59">
        <f t="shared" si="5"/>
        <v>0</v>
      </c>
    </row>
    <row r="37" spans="18:20" x14ac:dyDescent="0.25">
      <c r="R37" s="59">
        <f t="shared" si="6"/>
        <v>0</v>
      </c>
      <c r="S37" s="59" t="e">
        <f>#REF!*$R37</f>
        <v>#REF!</v>
      </c>
      <c r="T37" s="59">
        <f t="shared" si="5"/>
        <v>0</v>
      </c>
    </row>
  </sheetData>
  <sheetProtection algorithmName="SHA-512" hashValue="O9SaBczL5Ck1JVE6X0PSzP3QQ/ZFzSCUFPTOren8MKp9ZFZsVweuEoKAu9fILBKLW/jETbb1ILoZxatuCMmikA==" saltValue="hZ93hio8pVSviNYZFATSOQ==" spinCount="100000" sheet="1" selectLockedCells="1"/>
  <mergeCells count="37">
    <mergeCell ref="F23:G23"/>
    <mergeCell ref="F18:G18"/>
    <mergeCell ref="F19:G19"/>
    <mergeCell ref="F20:G20"/>
    <mergeCell ref="F21:G21"/>
    <mergeCell ref="F22:G22"/>
    <mergeCell ref="F13:G13"/>
    <mergeCell ref="F14:G14"/>
    <mergeCell ref="F15:G15"/>
    <mergeCell ref="F16:G16"/>
    <mergeCell ref="F17:G17"/>
    <mergeCell ref="H23:I23"/>
    <mergeCell ref="H8:I9"/>
    <mergeCell ref="F3:I3"/>
    <mergeCell ref="H5:I6"/>
    <mergeCell ref="H17:I17"/>
    <mergeCell ref="H18:I18"/>
    <mergeCell ref="H13:I13"/>
    <mergeCell ref="H14:I14"/>
    <mergeCell ref="H15:I15"/>
    <mergeCell ref="H16:I16"/>
    <mergeCell ref="H19:I19"/>
    <mergeCell ref="H20:I20"/>
    <mergeCell ref="H21:I21"/>
    <mergeCell ref="H22:I22"/>
    <mergeCell ref="H12:I12"/>
    <mergeCell ref="F12:G12"/>
    <mergeCell ref="D5:D6"/>
    <mergeCell ref="K3:N3"/>
    <mergeCell ref="X5:AA5"/>
    <mergeCell ref="B8:C9"/>
    <mergeCell ref="D8:D9"/>
    <mergeCell ref="F8:G9"/>
    <mergeCell ref="F5:G6"/>
    <mergeCell ref="B5:C6"/>
    <mergeCell ref="K9:N10"/>
    <mergeCell ref="B3:C3"/>
  </mergeCells>
  <conditionalFormatting sqref="B12:B23 F12:F23">
    <cfRule type="containsText" dxfId="58" priority="7" operator="containsText" text="0">
      <formula>NOT(ISERROR(SEARCH("0",B12)))</formula>
    </cfRule>
  </conditionalFormatting>
  <conditionalFormatting sqref="C12:D23">
    <cfRule type="expression" dxfId="57" priority="5">
      <formula>$B12=0</formula>
    </cfRule>
  </conditionalFormatting>
  <conditionalFormatting sqref="H12:H23">
    <cfRule type="expression" dxfId="56" priority="188">
      <formula>$F12=0</formula>
    </cfRule>
  </conditionalFormatting>
  <conditionalFormatting sqref="F13:F23">
    <cfRule type="containsText" dxfId="55" priority="1" operator="containsText" text="0">
      <formula>NOT(ISERROR(SEARCH("0",F13)))</formula>
    </cfRule>
  </conditionalFormatting>
  <dataValidations count="5">
    <dataValidation type="list" allowBlank="1" showInputMessage="1" showErrorMessage="1" sqref="H8:I9" xr:uid="{45AAC7C1-F79F-4582-A4C2-F9A140817514}">
      <formula1>INDIRECT($U$23)</formula1>
    </dataValidation>
    <dataValidation type="list" allowBlank="1" showInputMessage="1" showErrorMessage="1" sqref="I11" xr:uid="{E4C81C1C-DBD6-4949-AF4F-09A1C2CB2BCA}">
      <formula1>$AD$6:$AD$7</formula1>
    </dataValidation>
    <dataValidation type="list" allowBlank="1" showInputMessage="1" showErrorMessage="1" sqref="D3" xr:uid="{A90582E2-FA53-4428-92DA-B30C2525F75D}">
      <formula1>$AE$6:$AE$7</formula1>
    </dataValidation>
    <dataValidation type="list" allowBlank="1" showInputMessage="1" showErrorMessage="1" sqref="D8" xr:uid="{D66A8BC8-0B9C-43A8-8C95-8CB34FD29C81}">
      <formula1>INDIRECT($U$2)</formula1>
    </dataValidation>
    <dataValidation type="list" allowBlank="1" showInputMessage="1" showErrorMessage="1" sqref="D5 H5" xr:uid="{B03440A2-ED9E-44EF-9DFB-DE10985B8B1E}">
      <formula1>$R$7:$R$8</formula1>
    </dataValidation>
  </dataValidations>
  <pageMargins left="0.7" right="0.7" top="0.75" bottom="0.75" header="0.3" footer="0.3"/>
  <pageSetup paperSize="9" orientation="portrait" horizontalDpi="90" verticalDpi="90" r:id="rId1"/>
  <headerFooter>
    <oddHeader>&amp;C&amp;"Calibri"&amp;12&amp;K000000UNOFFICIAL&amp;1#</oddHeader>
    <oddFooter>&amp;C&amp;1#&amp;"Calibri"&amp;12&amp;K000000UNOFFICIAL</oddFooter>
  </headerFooter>
  <drawing r:id="rId2"/>
  <legacyDrawing r:id="rId3"/>
  <tableParts count="2">
    <tablePart r:id="rId4"/>
    <tablePart r:id="rId5"/>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E7617F-F590-4C71-AAE2-8A0099D30576}">
  <sheetPr>
    <tabColor rgb="FF92D050"/>
    <pageSetUpPr fitToPage="1"/>
  </sheetPr>
  <dimension ref="A1:BG94"/>
  <sheetViews>
    <sheetView showGridLines="0" zoomScale="80" zoomScaleNormal="80" workbookViewId="0">
      <selection activeCell="D26" sqref="D26"/>
    </sheetView>
  </sheetViews>
  <sheetFormatPr defaultRowHeight="15" x14ac:dyDescent="0.25"/>
  <cols>
    <col min="1" max="1" width="1" style="59" customWidth="1"/>
    <col min="2" max="2" width="19.140625" style="59" customWidth="1"/>
    <col min="3" max="3" width="5.140625" style="59" customWidth="1"/>
    <col min="4" max="4" width="8.5703125" style="59" customWidth="1"/>
    <col min="5" max="5" width="12.85546875" style="59" customWidth="1"/>
    <col min="6" max="6" width="2.7109375" style="59" customWidth="1"/>
    <col min="7" max="7" width="10.7109375" style="59" customWidth="1"/>
    <col min="8" max="8" width="6.7109375" style="59" customWidth="1"/>
    <col min="9" max="9" width="10.5703125" style="59" customWidth="1"/>
    <col min="10" max="10" width="10.7109375" style="59" customWidth="1"/>
    <col min="11" max="11" width="8.42578125" style="59" customWidth="1"/>
    <col min="12" max="12" width="1.42578125" style="59" customWidth="1"/>
    <col min="13" max="13" width="5.5703125" style="59" customWidth="1"/>
    <col min="14" max="14" width="8.85546875" style="59" customWidth="1"/>
    <col min="15" max="15" width="8.140625" style="59" customWidth="1"/>
    <col min="16" max="16" width="12" style="59" customWidth="1"/>
    <col min="17" max="18" width="7.7109375" style="59" customWidth="1"/>
    <col min="19" max="19" width="9.42578125" style="59" customWidth="1"/>
    <col min="20" max="20" width="3" style="59" customWidth="1"/>
    <col min="21" max="21" width="9.140625" style="59" customWidth="1"/>
    <col min="22" max="22" width="11.28515625" style="59" customWidth="1"/>
    <col min="23" max="23" width="4.140625" style="59" customWidth="1"/>
    <col min="24" max="24" width="14.28515625" style="59" customWidth="1"/>
    <col min="25" max="25" width="6.5703125" style="59" customWidth="1"/>
    <col min="26" max="26" width="191" style="59" customWidth="1"/>
    <col min="27" max="27" width="20.5703125" style="59" customWidth="1"/>
    <col min="28" max="28" width="8.7109375" style="59" bestFit="1" customWidth="1"/>
    <col min="29" max="30" width="8.7109375" style="59" customWidth="1"/>
    <col min="31" max="31" width="31.28515625" style="59" customWidth="1"/>
    <col min="32" max="32" width="13.5703125" style="59" bestFit="1" customWidth="1"/>
    <col min="33" max="33" width="7.140625" style="59" customWidth="1"/>
    <col min="34" max="34" width="15.140625" style="59" bestFit="1" customWidth="1"/>
    <col min="35" max="35" width="12.28515625" style="59" bestFit="1" customWidth="1"/>
    <col min="36" max="36" width="10.42578125" style="59" bestFit="1" customWidth="1"/>
    <col min="37" max="37" width="15.28515625" style="59" customWidth="1"/>
    <col min="38" max="38" width="11" style="59" customWidth="1"/>
    <col min="39" max="39" width="15.5703125" style="59" customWidth="1"/>
    <col min="40" max="40" width="14.7109375" style="59" bestFit="1" customWidth="1"/>
    <col min="41" max="41" width="15.85546875" style="59" customWidth="1"/>
    <col min="42" max="42" width="17.5703125" style="59" customWidth="1"/>
    <col min="43" max="43" width="18.42578125" style="59" bestFit="1" customWidth="1"/>
    <col min="44" max="44" width="11.5703125" style="59" customWidth="1"/>
    <col min="45" max="45" width="13.140625" style="59" customWidth="1"/>
    <col min="46" max="47" width="16.42578125" style="59" customWidth="1"/>
    <col min="48" max="49" width="9.140625" style="59"/>
    <col min="50" max="50" width="13.140625" style="246" customWidth="1"/>
    <col min="51" max="52" width="9.140625" style="59"/>
    <col min="53" max="53" width="14.85546875" style="59" customWidth="1"/>
    <col min="54" max="16384" width="9.140625" style="59"/>
  </cols>
  <sheetData>
    <row r="1" spans="1:59" ht="3.75" customHeight="1" x14ac:dyDescent="0.25">
      <c r="A1" s="78"/>
      <c r="B1" s="78"/>
      <c r="C1" s="78"/>
      <c r="D1" s="78"/>
      <c r="E1" s="78"/>
      <c r="F1" s="78"/>
      <c r="G1" s="78"/>
      <c r="H1" s="78"/>
      <c r="I1" s="78"/>
      <c r="J1" s="78"/>
      <c r="K1" s="78"/>
      <c r="L1" s="78"/>
      <c r="M1" s="78"/>
      <c r="N1" s="78"/>
      <c r="O1" s="78"/>
      <c r="P1" s="78"/>
      <c r="Q1" s="78"/>
      <c r="R1" s="78"/>
      <c r="S1" s="78"/>
      <c r="T1" s="78"/>
      <c r="U1" s="78"/>
      <c r="V1" s="78"/>
      <c r="W1" s="78"/>
      <c r="X1" s="78"/>
      <c r="Y1" s="78"/>
      <c r="AD1" s="79"/>
      <c r="AE1" s="79"/>
      <c r="AF1" s="309" t="s">
        <v>57</v>
      </c>
      <c r="AG1" s="309"/>
      <c r="AH1" s="79"/>
      <c r="AI1" s="79"/>
      <c r="AJ1" s="79"/>
      <c r="AK1" s="79"/>
      <c r="AL1" s="79"/>
      <c r="AM1" s="79"/>
      <c r="AN1" s="79"/>
      <c r="AO1" s="79"/>
      <c r="AP1" s="79"/>
      <c r="AQ1" s="79"/>
      <c r="AR1" s="79"/>
      <c r="AS1" s="247" t="s">
        <v>58</v>
      </c>
      <c r="AT1" s="247"/>
      <c r="AU1" s="247"/>
      <c r="AV1" s="247"/>
      <c r="AW1" s="247"/>
      <c r="AX1" s="247"/>
      <c r="BA1" s="59" t="s">
        <v>59</v>
      </c>
      <c r="BB1" s="59" t="s">
        <v>60</v>
      </c>
      <c r="BC1" s="59" t="s">
        <v>61</v>
      </c>
    </row>
    <row r="2" spans="1:59" ht="14.25" customHeight="1" x14ac:dyDescent="0.25">
      <c r="A2" s="78"/>
      <c r="B2" s="80" t="s">
        <v>344</v>
      </c>
      <c r="C2" s="282" t="s">
        <v>62</v>
      </c>
      <c r="D2" s="282"/>
      <c r="E2" s="282"/>
      <c r="F2" s="282"/>
      <c r="G2" s="282"/>
      <c r="H2" s="282"/>
      <c r="I2" s="282"/>
      <c r="J2" s="282"/>
      <c r="K2" s="282"/>
      <c r="L2" s="282"/>
      <c r="M2" s="282"/>
      <c r="N2" s="282"/>
      <c r="O2" s="282"/>
      <c r="P2" s="282"/>
      <c r="Q2" s="282"/>
      <c r="R2" s="282"/>
      <c r="S2" s="282"/>
      <c r="T2" s="282"/>
      <c r="U2" s="282"/>
      <c r="V2" s="282"/>
      <c r="W2" s="282"/>
      <c r="X2" s="282"/>
      <c r="Y2" s="282"/>
      <c r="AD2" s="79"/>
      <c r="AE2" s="79"/>
      <c r="AF2" s="81"/>
      <c r="AG2" s="81"/>
      <c r="AH2" s="79"/>
      <c r="AI2" s="79"/>
      <c r="AJ2" s="79"/>
      <c r="AK2" s="79"/>
      <c r="AL2" s="79"/>
      <c r="AM2" s="79"/>
      <c r="AN2" s="79"/>
      <c r="AO2" s="79"/>
      <c r="AP2" s="79"/>
      <c r="AQ2" s="79"/>
      <c r="AR2" s="79"/>
      <c r="AS2" s="82"/>
      <c r="AT2" s="82"/>
      <c r="AU2" s="82"/>
      <c r="AV2" s="82"/>
      <c r="AW2" s="82"/>
      <c r="AX2" s="238" t="s">
        <v>361</v>
      </c>
    </row>
    <row r="3" spans="1:59" ht="3.75" customHeight="1" x14ac:dyDescent="0.25">
      <c r="A3" s="78"/>
      <c r="B3" s="78"/>
      <c r="C3" s="282"/>
      <c r="D3" s="282"/>
      <c r="E3" s="282"/>
      <c r="F3" s="282"/>
      <c r="G3" s="282"/>
      <c r="H3" s="282"/>
      <c r="I3" s="282"/>
      <c r="J3" s="282"/>
      <c r="K3" s="282"/>
      <c r="L3" s="282"/>
      <c r="M3" s="282"/>
      <c r="N3" s="282"/>
      <c r="O3" s="282"/>
      <c r="P3" s="282"/>
      <c r="Q3" s="282"/>
      <c r="R3" s="282"/>
      <c r="S3" s="282"/>
      <c r="T3" s="282"/>
      <c r="U3" s="282"/>
      <c r="V3" s="282"/>
      <c r="W3" s="282"/>
      <c r="X3" s="282"/>
      <c r="Y3" s="282"/>
      <c r="AD3" s="79"/>
      <c r="AE3" s="79"/>
      <c r="AF3" s="81"/>
      <c r="AG3" s="81"/>
      <c r="AH3" s="79"/>
      <c r="AI3" s="79"/>
      <c r="AJ3" s="79"/>
      <c r="AK3" s="79"/>
      <c r="AL3" s="79"/>
      <c r="AM3" s="79"/>
      <c r="AN3" s="79"/>
      <c r="AO3" s="79"/>
      <c r="AP3" s="79"/>
      <c r="AQ3" s="79"/>
      <c r="AR3" s="79"/>
      <c r="AS3" s="82"/>
      <c r="AT3" s="82"/>
      <c r="AU3" s="82"/>
      <c r="AV3" s="82"/>
      <c r="AW3" s="82"/>
      <c r="AX3" s="238"/>
    </row>
    <row r="4" spans="1:59" ht="15" customHeight="1" x14ac:dyDescent="0.25">
      <c r="B4" s="80" t="s">
        <v>345</v>
      </c>
      <c r="C4" s="282"/>
      <c r="D4" s="282"/>
      <c r="E4" s="282"/>
      <c r="F4" s="282"/>
      <c r="G4" s="282"/>
      <c r="H4" s="282"/>
      <c r="I4" s="282"/>
      <c r="J4" s="282"/>
      <c r="K4" s="282"/>
      <c r="L4" s="282"/>
      <c r="M4" s="282"/>
      <c r="N4" s="282"/>
      <c r="O4" s="282"/>
      <c r="P4" s="282"/>
      <c r="Q4" s="282"/>
      <c r="R4" s="282"/>
      <c r="S4" s="282"/>
      <c r="T4" s="282"/>
      <c r="U4" s="282"/>
      <c r="V4" s="282"/>
      <c r="W4" s="282"/>
      <c r="X4" s="282"/>
      <c r="Y4" s="282"/>
      <c r="AA4" s="59" t="s">
        <v>63</v>
      </c>
      <c r="AB4" s="59" t="s">
        <v>64</v>
      </c>
      <c r="AC4" s="59" t="s">
        <v>59</v>
      </c>
      <c r="AD4" s="79" t="s">
        <v>65</v>
      </c>
      <c r="AE4" s="83"/>
      <c r="AF4" s="223" t="s">
        <v>66</v>
      </c>
      <c r="AG4" s="224" t="s">
        <v>67</v>
      </c>
      <c r="AH4" s="224" t="s">
        <v>68</v>
      </c>
      <c r="AI4" s="224" t="s">
        <v>69</v>
      </c>
      <c r="AJ4" s="224" t="s">
        <v>70</v>
      </c>
      <c r="AK4" s="224" t="s">
        <v>71</v>
      </c>
      <c r="AL4" s="224" t="s">
        <v>72</v>
      </c>
      <c r="AM4" s="224" t="s">
        <v>73</v>
      </c>
      <c r="AN4" s="224" t="s">
        <v>74</v>
      </c>
      <c r="AO4" s="224" t="s">
        <v>75</v>
      </c>
      <c r="AP4" s="224" t="s">
        <v>76</v>
      </c>
      <c r="AQ4" s="224" t="s">
        <v>77</v>
      </c>
      <c r="AR4" s="224" t="s">
        <v>78</v>
      </c>
      <c r="AS4" s="224" t="s">
        <v>71</v>
      </c>
      <c r="AT4" s="224" t="s">
        <v>75</v>
      </c>
      <c r="AU4" s="224" t="s">
        <v>79</v>
      </c>
      <c r="AV4" s="224" t="s">
        <v>74</v>
      </c>
      <c r="AW4" s="224" t="s">
        <v>76</v>
      </c>
      <c r="AX4" s="239" t="s">
        <v>75</v>
      </c>
      <c r="BA4" s="84" t="s">
        <v>80</v>
      </c>
      <c r="BB4" s="85">
        <f>1/1.4219702063</f>
        <v>0.70324961491424187</v>
      </c>
      <c r="BC4" s="59">
        <v>1</v>
      </c>
      <c r="BE4" s="254" t="s">
        <v>81</v>
      </c>
      <c r="BF4" s="254"/>
      <c r="BG4" s="254"/>
    </row>
    <row r="5" spans="1:59" ht="12.75" customHeight="1" x14ac:dyDescent="0.25">
      <c r="A5" s="78"/>
      <c r="B5" s="78"/>
      <c r="C5" s="78"/>
      <c r="D5" s="78"/>
      <c r="E5" s="78"/>
      <c r="F5" s="78"/>
      <c r="G5" s="78"/>
      <c r="H5" s="78"/>
      <c r="I5" s="78"/>
      <c r="J5" s="78"/>
      <c r="K5" s="78"/>
      <c r="L5" s="78"/>
      <c r="M5" s="78"/>
      <c r="N5" s="78"/>
      <c r="O5" s="78"/>
      <c r="P5" s="78"/>
      <c r="Q5" s="86"/>
      <c r="R5" s="86"/>
      <c r="S5" s="86"/>
      <c r="T5" s="78"/>
      <c r="U5" s="78"/>
      <c r="V5" s="78"/>
      <c r="W5" s="78"/>
      <c r="X5" s="78"/>
      <c r="Y5" s="78"/>
      <c r="AA5" s="59" t="s">
        <v>82</v>
      </c>
      <c r="AB5" s="59">
        <f>G8</f>
        <v>0</v>
      </c>
      <c r="AC5" s="59" t="str">
        <f>H8</f>
        <v>m</v>
      </c>
      <c r="AD5" s="87">
        <f t="shared" ref="AD5:AD10" si="0">VLOOKUP(AC5,BA$4:BB$7,2,FALSE)*AB5</f>
        <v>0</v>
      </c>
      <c r="AE5" s="79" t="s">
        <v>83</v>
      </c>
      <c r="AF5" s="88">
        <f>AD9+AD5</f>
        <v>0</v>
      </c>
      <c r="AG5" s="89">
        <f>AF5/AF$13</f>
        <v>0</v>
      </c>
      <c r="AH5" s="90"/>
      <c r="AI5" s="91">
        <f>AG5*($AI$13-AI$9-AI$10)</f>
        <v>0</v>
      </c>
      <c r="AJ5" s="89">
        <f t="shared" ref="AJ5:AJ10" si="1">AI5/AI$11</f>
        <v>0</v>
      </c>
      <c r="AK5" s="92">
        <f>AJ5*AK$13</f>
        <v>0</v>
      </c>
      <c r="AL5" s="90"/>
      <c r="AM5" s="93">
        <f t="shared" ref="AM5:AM10" si="2">AK5*AL$11</f>
        <v>0</v>
      </c>
      <c r="AN5" s="91">
        <f t="shared" ref="AN5:AN10" si="3">AJ5*AN$13</f>
        <v>0</v>
      </c>
      <c r="AO5" s="94">
        <f>AN5*AL$11</f>
        <v>0</v>
      </c>
      <c r="AP5" s="95">
        <f t="shared" ref="AP5:AP10" si="4">AJ5*AP$13</f>
        <v>0</v>
      </c>
      <c r="AQ5" s="95"/>
      <c r="AR5" s="91">
        <f>AF5</f>
        <v>0</v>
      </c>
      <c r="AS5" s="92">
        <f>AK5</f>
        <v>0</v>
      </c>
      <c r="AT5" s="96">
        <f>AO5</f>
        <v>0</v>
      </c>
      <c r="AU5" s="97">
        <v>0</v>
      </c>
      <c r="AV5" s="90"/>
      <c r="AW5" s="95"/>
      <c r="AX5" s="240"/>
      <c r="BA5" s="98" t="s">
        <v>84</v>
      </c>
      <c r="BB5" s="99">
        <v>0.10199773339984</v>
      </c>
      <c r="BC5" s="59">
        <v>6.8947572800000003</v>
      </c>
      <c r="BE5" s="100" t="s">
        <v>85</v>
      </c>
      <c r="BF5" s="101">
        <v>0.69</v>
      </c>
      <c r="BG5" s="59" t="s">
        <v>86</v>
      </c>
    </row>
    <row r="6" spans="1:59" ht="15.75" x14ac:dyDescent="0.25">
      <c r="A6" s="78"/>
      <c r="B6" s="272" t="s">
        <v>0</v>
      </c>
      <c r="C6" s="273"/>
      <c r="D6" s="273"/>
      <c r="E6" s="51" t="s">
        <v>1</v>
      </c>
      <c r="F6" s="102"/>
      <c r="G6" s="276" t="s">
        <v>82</v>
      </c>
      <c r="H6" s="277"/>
      <c r="I6" s="78"/>
      <c r="J6" s="276" t="s">
        <v>87</v>
      </c>
      <c r="K6" s="277"/>
      <c r="M6" s="276" t="s">
        <v>88</v>
      </c>
      <c r="N6" s="277"/>
      <c r="P6" s="276" t="s">
        <v>89</v>
      </c>
      <c r="Q6" s="277"/>
      <c r="S6" s="276" t="s">
        <v>90</v>
      </c>
      <c r="T6" s="277"/>
      <c r="V6" s="78"/>
      <c r="W6" s="290" t="s">
        <v>91</v>
      </c>
      <c r="X6" s="291"/>
      <c r="Y6" s="292"/>
      <c r="AA6" s="59" t="s">
        <v>87</v>
      </c>
      <c r="AB6" s="59">
        <f>J8</f>
        <v>60</v>
      </c>
      <c r="AC6" s="59" t="str">
        <f>K8</f>
        <v>m</v>
      </c>
      <c r="AD6" s="87">
        <f t="shared" si="0"/>
        <v>60</v>
      </c>
      <c r="AE6" s="103" t="s">
        <v>92</v>
      </c>
      <c r="AF6" s="104">
        <f>AF11-AF8-AF7-AF5</f>
        <v>10</v>
      </c>
      <c r="AG6" s="89">
        <f>AF6/AF$13</f>
        <v>0.16666666666666666</v>
      </c>
      <c r="AH6" s="91">
        <f>AF6/N23*100</f>
        <v>10</v>
      </c>
      <c r="AI6" s="91">
        <f t="shared" ref="AI6:AI8" si="5">AG6*($AI$13-AI$9-AI$10)</f>
        <v>2.2694774635259565</v>
      </c>
      <c r="AJ6" s="89">
        <f t="shared" si="1"/>
        <v>8.9738136161563911E-2</v>
      </c>
      <c r="AK6" s="92">
        <f>AJ6*AK$13</f>
        <v>27.233729562311478</v>
      </c>
      <c r="AL6" s="90"/>
      <c r="AM6" s="93">
        <f t="shared" si="2"/>
        <v>10893.491824924591</v>
      </c>
      <c r="AN6" s="91">
        <f t="shared" si="3"/>
        <v>6.8084323905778694</v>
      </c>
      <c r="AO6" s="94">
        <f t="shared" ref="AO6:AO10" si="6">AN6*AL$11</f>
        <v>2723.3729562311478</v>
      </c>
      <c r="AP6" s="95">
        <f t="shared" si="4"/>
        <v>0.45389549270519131</v>
      </c>
      <c r="AQ6" s="91">
        <f>IF(P31&gt;P30,P30,P31)</f>
        <v>1</v>
      </c>
      <c r="AR6" s="91">
        <f>AQ6*N23/100</f>
        <v>1</v>
      </c>
      <c r="AS6" s="105">
        <f>(AR6/AF6)*AK6</f>
        <v>2.7233729562311479</v>
      </c>
      <c r="AT6" s="106">
        <f>AS6*AL$11*AF$16</f>
        <v>272.33729562311481</v>
      </c>
      <c r="AU6" s="97">
        <f>ROUND(IF(AO6-AT6&lt;0,0,AO6-AT6),4)</f>
        <v>2451.0356999999999</v>
      </c>
      <c r="AV6" s="90"/>
      <c r="AW6" s="95"/>
      <c r="AX6" s="241">
        <f>((AF6-AR6)*AP$13)*AF$16*AH$18</f>
        <v>4552.2000000000107</v>
      </c>
      <c r="BA6" s="98" t="s">
        <v>93</v>
      </c>
      <c r="BB6" s="107">
        <v>1</v>
      </c>
      <c r="BC6" s="59">
        <v>0.70324961490000004</v>
      </c>
      <c r="BE6" s="100" t="s">
        <v>85</v>
      </c>
      <c r="BF6" s="101">
        <v>0.8</v>
      </c>
      <c r="BG6" s="59" t="s">
        <v>94</v>
      </c>
    </row>
    <row r="7" spans="1:59" ht="15" customHeight="1" x14ac:dyDescent="0.25">
      <c r="A7" s="78"/>
      <c r="B7" s="274" t="str">
        <f>HLOOKUP(E6,BA18:BB23,4,FALSE)</f>
        <v>Start</v>
      </c>
      <c r="C7" s="275"/>
      <c r="D7" s="33">
        <v>3065.7</v>
      </c>
      <c r="E7" s="108" t="str">
        <f>HLOOKUP(E6,BA18:BB23,2,FALSE)</f>
        <v>kWh</v>
      </c>
      <c r="F7" s="78"/>
      <c r="G7" s="278"/>
      <c r="H7" s="279"/>
      <c r="I7" s="78"/>
      <c r="J7" s="278"/>
      <c r="K7" s="279"/>
      <c r="M7" s="278"/>
      <c r="N7" s="279"/>
      <c r="P7" s="314" t="s">
        <v>95</v>
      </c>
      <c r="Q7" s="315"/>
      <c r="S7" s="278"/>
      <c r="T7" s="279"/>
      <c r="V7" s="78"/>
      <c r="W7" s="293" t="s">
        <v>95</v>
      </c>
      <c r="X7" s="294"/>
      <c r="Y7" s="295"/>
      <c r="AA7" s="59" t="s">
        <v>96</v>
      </c>
      <c r="AB7" s="59">
        <f>M8</f>
        <v>0</v>
      </c>
      <c r="AC7" s="59" t="str">
        <f>N8</f>
        <v>m</v>
      </c>
      <c r="AD7" s="87">
        <f t="shared" si="0"/>
        <v>0</v>
      </c>
      <c r="AE7" s="79" t="s">
        <v>97</v>
      </c>
      <c r="AF7" s="88">
        <f>AD8+AD7-AD9-AD10</f>
        <v>8</v>
      </c>
      <c r="AG7" s="89">
        <f>AF7/AF$13</f>
        <v>0.13333333333333333</v>
      </c>
      <c r="AH7" s="91">
        <f>AF7/R23*100</f>
        <v>8</v>
      </c>
      <c r="AI7" s="91">
        <f t="shared" si="5"/>
        <v>1.8155819708207652</v>
      </c>
      <c r="AJ7" s="89">
        <f t="shared" si="1"/>
        <v>7.1790508929251137E-2</v>
      </c>
      <c r="AK7" s="92">
        <f t="shared" ref="AK7:AK10" si="7">AJ7*AK$13</f>
        <v>21.786983649849187</v>
      </c>
      <c r="AL7" s="90"/>
      <c r="AM7" s="93">
        <f t="shared" si="2"/>
        <v>8714.793459939674</v>
      </c>
      <c r="AN7" s="91">
        <f t="shared" si="3"/>
        <v>5.4467459124622968</v>
      </c>
      <c r="AO7" s="94">
        <f t="shared" si="6"/>
        <v>2178.6983649849185</v>
      </c>
      <c r="AP7" s="95">
        <f t="shared" si="4"/>
        <v>0.36311639416415309</v>
      </c>
      <c r="AQ7" s="91">
        <f>IF(Q31&gt;Q30,Q30,Q31)</f>
        <v>5</v>
      </c>
      <c r="AR7" s="91">
        <f>AQ7*(R23/100)</f>
        <v>5</v>
      </c>
      <c r="AS7" s="105">
        <f>(AR7/AF7)*AK7</f>
        <v>13.616864781155742</v>
      </c>
      <c r="AT7" s="106">
        <f>AS7*AL$11*AF$16</f>
        <v>1361.6864781155743</v>
      </c>
      <c r="AU7" s="97">
        <f>ROUND(IF(AO7-AT7&lt;0,0,AO7-AT7),4)</f>
        <v>817.01189999999997</v>
      </c>
      <c r="AV7" s="90"/>
      <c r="AW7" s="95"/>
      <c r="AX7" s="241">
        <f>((AF7-AR7)*AP$13)*AF$16*AH$18</f>
        <v>1517.4000000000035</v>
      </c>
      <c r="BA7" s="98" t="s">
        <v>98</v>
      </c>
      <c r="BB7" s="109">
        <v>10.199773339984</v>
      </c>
      <c r="BC7" s="59">
        <v>6.8947572799999995E-2</v>
      </c>
      <c r="BE7" s="100" t="s">
        <v>99</v>
      </c>
      <c r="BF7" s="101">
        <v>0.8</v>
      </c>
      <c r="BG7" s="59" t="s">
        <v>100</v>
      </c>
    </row>
    <row r="8" spans="1:59" ht="15" customHeight="1" x14ac:dyDescent="0.25">
      <c r="A8" s="78"/>
      <c r="B8" s="270" t="str">
        <f>HLOOKUP(E6,BA18:BB23,5,FALSE)</f>
        <v>End</v>
      </c>
      <c r="C8" s="271"/>
      <c r="D8" s="33">
        <v>3150</v>
      </c>
      <c r="E8" s="110" t="str">
        <f>HLOOKUP(E6,BA18:BB23,3,FALSE)</f>
        <v>kWh</v>
      </c>
      <c r="F8" s="78"/>
      <c r="G8" s="26">
        <v>0</v>
      </c>
      <c r="H8" s="111" t="s">
        <v>93</v>
      </c>
      <c r="I8" s="78"/>
      <c r="J8" s="26">
        <v>60</v>
      </c>
      <c r="K8" s="27" t="s">
        <v>93</v>
      </c>
      <c r="M8" s="26">
        <v>0</v>
      </c>
      <c r="N8" s="111" t="s">
        <v>93</v>
      </c>
      <c r="P8" s="26">
        <v>50</v>
      </c>
      <c r="Q8" s="27" t="s">
        <v>93</v>
      </c>
      <c r="S8" s="26">
        <v>0</v>
      </c>
      <c r="T8" s="111" t="s">
        <v>93</v>
      </c>
      <c r="W8" s="296">
        <v>42</v>
      </c>
      <c r="X8" s="297"/>
      <c r="Y8" s="32" t="s">
        <v>93</v>
      </c>
      <c r="AA8" s="59" t="s">
        <v>89</v>
      </c>
      <c r="AB8" s="112">
        <f>IF(P8&gt;0,P8,AD6-((AD6-AD10-AD9)/(N23+R23))*N23-AD7)</f>
        <v>50</v>
      </c>
      <c r="AC8" s="59" t="str">
        <f>IF(P8&gt;0,Q8,"m")</f>
        <v>m</v>
      </c>
      <c r="AD8" s="87">
        <f t="shared" si="0"/>
        <v>50</v>
      </c>
      <c r="AE8" s="79" t="s">
        <v>101</v>
      </c>
      <c r="AF8" s="88">
        <f>AD10</f>
        <v>42</v>
      </c>
      <c r="AG8" s="89">
        <f>AF8/AF$13</f>
        <v>0.7</v>
      </c>
      <c r="AH8" s="90"/>
      <c r="AI8" s="91">
        <f t="shared" si="5"/>
        <v>9.5318053468090174</v>
      </c>
      <c r="AJ8" s="89">
        <f t="shared" si="1"/>
        <v>0.37690017187856845</v>
      </c>
      <c r="AK8" s="92">
        <f t="shared" si="7"/>
        <v>114.38166416170822</v>
      </c>
      <c r="AL8" s="90"/>
      <c r="AM8" s="93">
        <f t="shared" si="2"/>
        <v>45752.665664683285</v>
      </c>
      <c r="AN8" s="91">
        <f t="shared" si="3"/>
        <v>28.595416040427054</v>
      </c>
      <c r="AO8" s="94">
        <f t="shared" si="6"/>
        <v>11438.166416170821</v>
      </c>
      <c r="AP8" s="95">
        <f t="shared" si="4"/>
        <v>1.9063610693618034</v>
      </c>
      <c r="AQ8" s="95"/>
      <c r="AR8" s="91">
        <f>IF('Endgun models'!$I$35*0.703&gt;0,'Endgun models'!$I$35*0.703,0)</f>
        <v>42.082739170059945</v>
      </c>
      <c r="AS8" s="105">
        <f>IFERROR((AR8/AF8)*AK8,AK8)</f>
        <v>114.60699377987048</v>
      </c>
      <c r="AT8" s="106">
        <f>IF(AF35,AS8*AL$11*AF$16,AO8)</f>
        <v>11460.699377987048</v>
      </c>
      <c r="AU8" s="97">
        <f>IF(AF35,AO8-AT8,0)</f>
        <v>-22.532961816226816</v>
      </c>
      <c r="AV8" s="90"/>
      <c r="AW8" s="95"/>
      <c r="AX8" s="241">
        <f>IFERROR(((AF8-AR8)*AP$13)*AF$16*AH$18,AK8)</f>
        <v>-41.84947221632023</v>
      </c>
    </row>
    <row r="9" spans="1:59" ht="15" customHeight="1" x14ac:dyDescent="0.25">
      <c r="A9" s="78"/>
      <c r="B9" s="270" t="s">
        <v>102</v>
      </c>
      <c r="C9" s="271"/>
      <c r="D9" s="33">
        <v>10000</v>
      </c>
      <c r="E9" s="110" t="s">
        <v>103</v>
      </c>
      <c r="F9" s="78"/>
      <c r="G9" s="78"/>
      <c r="H9" s="78"/>
      <c r="I9" s="78"/>
      <c r="W9" s="298" t="str">
        <f>IFERROR("Gun operating range: "&amp;ROUND('Endgun models'!O5*VLOOKUP(Y8,BA4:BC7,3,FALSE),1)&amp;" to "&amp;ROUND('Endgun models'!O8*VLOOKUP(Y8,BA4:BC7,3,FALSE),1)&amp;" "&amp;Y8,AR30)</f>
        <v>Gun operating range: 28.1 to 77.4 m</v>
      </c>
      <c r="X9" s="299"/>
      <c r="Y9" s="300"/>
      <c r="AA9" s="59" t="s">
        <v>104</v>
      </c>
      <c r="AB9" s="59">
        <f>S8</f>
        <v>0</v>
      </c>
      <c r="AC9" s="59" t="str">
        <f>T8</f>
        <v>m</v>
      </c>
      <c r="AD9" s="87">
        <f t="shared" si="0"/>
        <v>0</v>
      </c>
      <c r="AE9" s="79" t="s">
        <v>105</v>
      </c>
      <c r="AF9" s="90"/>
      <c r="AG9" s="90"/>
      <c r="AH9" s="90"/>
      <c r="AI9" s="91">
        <f>(AI13-AI10)*(1-H30)</f>
        <v>10.054575218844311</v>
      </c>
      <c r="AJ9" s="89">
        <f t="shared" si="1"/>
        <v>0.39757118303061639</v>
      </c>
      <c r="AK9" s="92">
        <f t="shared" si="7"/>
        <v>120.65490262613174</v>
      </c>
      <c r="AL9" s="90"/>
      <c r="AM9" s="93">
        <f t="shared" si="2"/>
        <v>48261.961050452701</v>
      </c>
      <c r="AN9" s="91">
        <f t="shared" si="3"/>
        <v>30.163725656532936</v>
      </c>
      <c r="AO9" s="94">
        <f t="shared" si="6"/>
        <v>12065.490262613175</v>
      </c>
      <c r="AP9" s="95">
        <f t="shared" si="4"/>
        <v>2.0109150437688621</v>
      </c>
      <c r="AQ9" s="90"/>
      <c r="AR9" s="90"/>
      <c r="AS9" s="92">
        <f>MIN(AK9*H30/H31,AK9)</f>
        <v>77.117849575669865</v>
      </c>
      <c r="AT9" s="106">
        <f>AS9*AL$11*AF$16</f>
        <v>7711.7849575669861</v>
      </c>
      <c r="AU9" s="97">
        <f>IF(AO9-AT9&lt;0,0,AO9-AT9)</f>
        <v>4353.7053050461891</v>
      </c>
      <c r="AV9" s="90"/>
      <c r="AW9" s="95">
        <f>AS9/AF11</f>
        <v>1.2852974929278311</v>
      </c>
      <c r="AX9" s="240">
        <f>AO9-((MIN(AK9*H30/H31,AK9))*AF16*AH18)</f>
        <v>4353.7053050461891</v>
      </c>
      <c r="BA9" s="98" t="s">
        <v>106</v>
      </c>
      <c r="BB9" s="59">
        <v>8.6400000000000005E-2</v>
      </c>
    </row>
    <row r="10" spans="1:59" ht="15" customHeight="1" x14ac:dyDescent="0.25">
      <c r="A10" s="78"/>
      <c r="B10" s="250" t="s">
        <v>362</v>
      </c>
      <c r="C10" s="248"/>
      <c r="D10" s="33">
        <v>50</v>
      </c>
      <c r="E10" s="249"/>
      <c r="F10" s="78"/>
      <c r="G10" s="79"/>
      <c r="K10" s="310" t="str">
        <f>IF(AF6&lt;0,AE56,"")</f>
        <v/>
      </c>
      <c r="L10" s="310"/>
      <c r="M10" s="310"/>
      <c r="N10" s="310"/>
      <c r="O10" s="310"/>
      <c r="Q10" s="308" t="str">
        <f>IF(AF7&lt;0,AE57,"")</f>
        <v/>
      </c>
      <c r="R10" s="308"/>
      <c r="S10" s="308"/>
      <c r="T10" s="308"/>
      <c r="W10" s="301"/>
      <c r="X10" s="302"/>
      <c r="Y10" s="303"/>
      <c r="AA10" s="59" t="s">
        <v>107</v>
      </c>
      <c r="AB10" s="59">
        <f>W8</f>
        <v>42</v>
      </c>
      <c r="AC10" s="59" t="str">
        <f>Y8</f>
        <v>m</v>
      </c>
      <c r="AD10" s="87">
        <f t="shared" si="0"/>
        <v>42</v>
      </c>
      <c r="AE10" s="79" t="s">
        <v>108</v>
      </c>
      <c r="AF10" s="90"/>
      <c r="AG10" s="90"/>
      <c r="AH10" s="90"/>
      <c r="AI10" s="91">
        <f>(1-(AF24/100))*AI13</f>
        <v>1.6185600000000051</v>
      </c>
      <c r="AJ10" s="89">
        <f t="shared" si="1"/>
        <v>6.4000000000000057E-2</v>
      </c>
      <c r="AK10" s="92">
        <f t="shared" si="7"/>
        <v>19.422720000000062</v>
      </c>
      <c r="AL10" s="90"/>
      <c r="AM10" s="93">
        <f t="shared" si="2"/>
        <v>7769.0880000000252</v>
      </c>
      <c r="AN10" s="91">
        <f t="shared" si="3"/>
        <v>4.8556800000000155</v>
      </c>
      <c r="AO10" s="94">
        <f t="shared" si="6"/>
        <v>1942.2720000000063</v>
      </c>
      <c r="AP10" s="95">
        <f t="shared" si="4"/>
        <v>0.323712000000001</v>
      </c>
      <c r="AQ10" s="95"/>
      <c r="AR10" s="95"/>
      <c r="AS10" s="92">
        <f>AK10</f>
        <v>19.422720000000062</v>
      </c>
      <c r="AT10" s="96">
        <f>AO10</f>
        <v>1942.2720000000063</v>
      </c>
      <c r="AU10" s="97">
        <v>0</v>
      </c>
      <c r="AV10" s="90"/>
      <c r="AW10" s="95"/>
      <c r="AX10" s="240">
        <v>0</v>
      </c>
      <c r="BA10" s="98" t="s">
        <v>109</v>
      </c>
      <c r="BB10" s="59">
        <v>1.44444444444444E-3</v>
      </c>
    </row>
    <row r="11" spans="1:59" ht="15" customHeight="1" x14ac:dyDescent="0.25">
      <c r="A11" s="78"/>
      <c r="B11" s="263" t="str">
        <f>IF(E6="Diesel","Energy use","Energy load")</f>
        <v>Energy load</v>
      </c>
      <c r="C11" s="264"/>
      <c r="D11" s="113">
        <f>IF(E6=BB18,((D8-D7)*D10)/(D9/60),D8/(D9/60))</f>
        <v>25.290000000000056</v>
      </c>
      <c r="E11" s="111" t="str">
        <f>HLOOKUP(E6,BA18:BB23,6,FALSE)</f>
        <v>kW</v>
      </c>
      <c r="F11" s="78"/>
      <c r="K11" s="310"/>
      <c r="L11" s="310"/>
      <c r="M11" s="310"/>
      <c r="N11" s="310"/>
      <c r="O11" s="310"/>
      <c r="Q11" s="308"/>
      <c r="R11" s="308"/>
      <c r="S11" s="308"/>
      <c r="T11" s="308"/>
      <c r="V11" s="280" t="s">
        <v>328</v>
      </c>
      <c r="W11" s="280"/>
      <c r="X11" s="280"/>
      <c r="Y11" s="280"/>
      <c r="AD11" s="79"/>
      <c r="AE11" s="115" t="s">
        <v>110</v>
      </c>
      <c r="AF11" s="225">
        <f>AD5+AD6</f>
        <v>60</v>
      </c>
      <c r="AG11" s="218">
        <f>SUM(AG5:AG8)</f>
        <v>1</v>
      </c>
      <c r="AH11" s="226"/>
      <c r="AI11" s="217">
        <f>SUM(AI5:AI10)</f>
        <v>25.290000000000056</v>
      </c>
      <c r="AJ11" s="218">
        <f>SUM(AJ5:AJ10)</f>
        <v>1</v>
      </c>
      <c r="AK11" s="219">
        <f>SUM(AK5:AK10)</f>
        <v>303.4800000000007</v>
      </c>
      <c r="AL11" s="116">
        <f>AH18</f>
        <v>400</v>
      </c>
      <c r="AM11" s="227">
        <f>SUM(AM5:AM10)</f>
        <v>121392.00000000026</v>
      </c>
      <c r="AN11" s="217">
        <f>SUM(AN5:AN10)</f>
        <v>75.870000000000175</v>
      </c>
      <c r="AO11" s="94">
        <f>SUM(AO5:AO10)</f>
        <v>30348.000000000065</v>
      </c>
      <c r="AP11" s="228">
        <f>SUM(AP5:AP10)</f>
        <v>5.0580000000000114</v>
      </c>
      <c r="AQ11" s="228"/>
      <c r="AR11" s="228">
        <f>SUM(AR5:AR10)</f>
        <v>48.082739170059945</v>
      </c>
      <c r="AS11" s="229">
        <f>SUM(AS5:AS10)</f>
        <v>227.4878010929273</v>
      </c>
      <c r="AT11" s="230">
        <f>SUM(AT5:AT10)</f>
        <v>22748.780109292726</v>
      </c>
      <c r="AU11" s="231">
        <f>SUM(AU5:AU10)</f>
        <v>7599.2199432299622</v>
      </c>
      <c r="AV11" s="232">
        <f>AT11/AL11</f>
        <v>56.871950273231818</v>
      </c>
      <c r="AW11" s="233">
        <f>AP11+AW9-AP9</f>
        <v>4.3323824491589802</v>
      </c>
      <c r="AX11" s="242">
        <f>SUM(AX5:AX10)</f>
        <v>10381.455832829883</v>
      </c>
      <c r="BA11" s="98" t="s">
        <v>111</v>
      </c>
      <c r="BB11" s="59">
        <v>1</v>
      </c>
    </row>
    <row r="12" spans="1:59" ht="15.75" customHeight="1" x14ac:dyDescent="0.25">
      <c r="A12" s="78"/>
      <c r="B12" s="265" t="s">
        <v>142</v>
      </c>
      <c r="C12" s="266"/>
      <c r="D12" s="114">
        <f>IF('STEP 1 Benchmark'!L11&gt;0,'STEP 1 Benchmark'!L11,"")</f>
        <v>0.42857142857142855</v>
      </c>
      <c r="E12" s="110" t="str">
        <f>"$"&amp;'STEP 1 Benchmark'!M11</f>
        <v>$/kWh</v>
      </c>
      <c r="K12" s="310"/>
      <c r="L12" s="310"/>
      <c r="M12" s="310"/>
      <c r="N12" s="310"/>
      <c r="O12" s="310"/>
      <c r="Q12" s="308"/>
      <c r="R12" s="308"/>
      <c r="S12" s="308"/>
      <c r="T12" s="308"/>
      <c r="V12" s="280"/>
      <c r="W12" s="280"/>
      <c r="X12" s="280"/>
      <c r="Y12" s="280"/>
      <c r="AD12" s="79"/>
      <c r="AE12" s="79"/>
      <c r="AF12" s="90"/>
      <c r="AG12" s="90"/>
      <c r="AH12" s="90"/>
      <c r="AI12" s="220">
        <f>SUM(AI5:AI8)</f>
        <v>13.616864781155739</v>
      </c>
      <c r="AJ12" s="221">
        <f>SUM(AJ5:AJ8)</f>
        <v>0.53842881696938349</v>
      </c>
      <c r="AK12" s="220">
        <f>SUM(AK5:AK8)</f>
        <v>163.40237737386889</v>
      </c>
      <c r="AL12" s="90"/>
      <c r="AM12" s="222">
        <f>SUM(AM5:AM8)</f>
        <v>65360.95094954755</v>
      </c>
      <c r="AN12" s="222">
        <f>SUM(AN5:AN8)</f>
        <v>40.850594343467222</v>
      </c>
      <c r="AO12" s="234">
        <f>SUM(AO5:AO8)</f>
        <v>16340.237737386888</v>
      </c>
      <c r="AP12" s="237">
        <f>SUM(AP5:AP8)</f>
        <v>2.7233729562311479</v>
      </c>
      <c r="AQ12" s="90"/>
      <c r="AR12" s="90"/>
      <c r="AS12" s="90"/>
      <c r="AT12" s="234">
        <f>SUM(AT5:AT8)</f>
        <v>13094.723151725737</v>
      </c>
      <c r="AU12" s="90"/>
      <c r="AV12" s="90"/>
      <c r="AW12" s="90"/>
      <c r="AX12" s="243"/>
      <c r="BA12" s="98" t="s">
        <v>113</v>
      </c>
      <c r="BB12" s="59">
        <v>2.4E-2</v>
      </c>
    </row>
    <row r="13" spans="1:59" x14ac:dyDescent="0.25">
      <c r="A13" s="78"/>
      <c r="B13" s="263" t="s">
        <v>146</v>
      </c>
      <c r="C13" s="264"/>
      <c r="D13" s="25">
        <v>0.25</v>
      </c>
      <c r="E13" s="111" t="str">
        <f>E12</f>
        <v>$/kWh</v>
      </c>
      <c r="S13" s="78"/>
      <c r="T13" s="78"/>
      <c r="U13" s="78"/>
      <c r="V13" s="281"/>
      <c r="W13" s="281"/>
      <c r="X13" s="281"/>
      <c r="Y13" s="281"/>
      <c r="AA13" s="79" t="s">
        <v>115</v>
      </c>
      <c r="AC13" s="33">
        <v>5</v>
      </c>
      <c r="AD13" s="79"/>
      <c r="AE13" s="79" t="s">
        <v>116</v>
      </c>
      <c r="AF13" s="88">
        <f>SUM(AF5:AF8)</f>
        <v>60</v>
      </c>
      <c r="AG13" s="90"/>
      <c r="AH13" s="90"/>
      <c r="AI13" s="91">
        <f>IF(E6=BA18,D11*AF23,D11)</f>
        <v>25.290000000000056</v>
      </c>
      <c r="AJ13" s="90"/>
      <c r="AK13" s="119">
        <f>D11/(AH19/0.0864)/3.6*1000</f>
        <v>303.4800000000007</v>
      </c>
      <c r="AL13" s="235">
        <f>AL11</f>
        <v>400</v>
      </c>
      <c r="AM13" s="90"/>
      <c r="AN13" s="120">
        <f>AK13*AF16</f>
        <v>75.870000000000175</v>
      </c>
      <c r="AO13" s="90"/>
      <c r="AP13" s="121">
        <f>AK13/AF11</f>
        <v>5.0580000000000114</v>
      </c>
      <c r="AQ13" s="95"/>
      <c r="AR13" s="91">
        <f>((AH6-AQ6)*2)*AP13*0.25*AL13</f>
        <v>9104.4000000000215</v>
      </c>
      <c r="AS13" s="236">
        <f>AS11</f>
        <v>227.4878010929273</v>
      </c>
      <c r="AT13" s="90"/>
      <c r="AU13" s="90"/>
      <c r="AV13" s="90"/>
      <c r="AW13" s="236">
        <f>AW11</f>
        <v>4.3323824491589802</v>
      </c>
      <c r="AX13" s="244"/>
    </row>
    <row r="14" spans="1:59" x14ac:dyDescent="0.25">
      <c r="A14" s="78"/>
      <c r="B14" s="78"/>
      <c r="C14" s="78"/>
      <c r="D14" s="78"/>
      <c r="E14" s="78"/>
      <c r="K14" s="78"/>
      <c r="L14" s="78"/>
      <c r="M14" s="78"/>
      <c r="S14" s="78"/>
      <c r="T14" s="78"/>
      <c r="U14" s="78"/>
      <c r="V14" s="122" t="s">
        <v>118</v>
      </c>
      <c r="W14" s="123"/>
      <c r="X14" s="40" t="s">
        <v>119</v>
      </c>
      <c r="Y14" s="124" t="str">
        <f>VLOOKUP(X14,'Endgun models'!W9:Y30,3,FALSE)</f>
        <v>24°</v>
      </c>
      <c r="AD14" s="79"/>
      <c r="AE14" s="79" t="s">
        <v>120</v>
      </c>
      <c r="AF14" s="79"/>
      <c r="AG14" s="79"/>
      <c r="AH14" s="79"/>
      <c r="AI14" s="79"/>
      <c r="AJ14" s="79"/>
      <c r="AK14" s="91">
        <f>'STEP 1 Benchmark'!L13</f>
        <v>350</v>
      </c>
      <c r="AL14" s="87">
        <f>AG18</f>
        <v>400</v>
      </c>
      <c r="AM14" s="125">
        <f>'STEP 1 Benchmark'!M6</f>
        <v>140000</v>
      </c>
      <c r="AN14" s="91">
        <f>'STEP 1 Benchmark'!L12</f>
        <v>150</v>
      </c>
      <c r="AO14" s="79"/>
      <c r="AP14" s="79"/>
      <c r="AQ14" s="79"/>
      <c r="AR14" s="79"/>
      <c r="AS14" s="79"/>
      <c r="AT14" s="79" t="s">
        <v>332</v>
      </c>
      <c r="AU14" s="79" t="s">
        <v>121</v>
      </c>
      <c r="AV14" s="79"/>
      <c r="AW14" s="79"/>
      <c r="AX14" s="245"/>
      <c r="BA14" s="59">
        <v>-1</v>
      </c>
      <c r="BB14" s="126" t="s">
        <v>122</v>
      </c>
    </row>
    <row r="15" spans="1:59" ht="15.75" x14ac:dyDescent="0.25">
      <c r="A15" s="78"/>
      <c r="B15" s="283" t="s">
        <v>112</v>
      </c>
      <c r="C15" s="284"/>
      <c r="D15" s="284"/>
      <c r="E15" s="285"/>
      <c r="F15" s="78"/>
      <c r="K15" s="78"/>
      <c r="L15" s="78"/>
      <c r="M15" s="78"/>
      <c r="N15" s="78"/>
      <c r="S15" s="78"/>
      <c r="T15" s="78"/>
      <c r="V15" s="127" t="s">
        <v>123</v>
      </c>
      <c r="W15" s="128"/>
      <c r="X15" s="41">
        <v>1</v>
      </c>
      <c r="Y15" s="129" t="s">
        <v>124</v>
      </c>
      <c r="AA15" s="59" t="s">
        <v>316</v>
      </c>
      <c r="AD15" s="79"/>
      <c r="AE15" s="79" t="s">
        <v>125</v>
      </c>
      <c r="AF15" s="130">
        <f>AL11/'STEP 3 System capacity'!E5</f>
        <v>28.571428571428573</v>
      </c>
      <c r="AG15" s="79"/>
      <c r="AH15" s="79"/>
      <c r="AJ15" s="79"/>
      <c r="AK15" s="79"/>
      <c r="AL15" s="79"/>
      <c r="AN15" s="79"/>
      <c r="AO15" s="79"/>
      <c r="AP15" s="79"/>
      <c r="AQ15" s="79"/>
      <c r="AR15" s="79" t="s">
        <v>126</v>
      </c>
      <c r="AT15" s="117"/>
      <c r="AU15" s="117"/>
      <c r="AV15" s="79"/>
      <c r="AW15" s="79"/>
      <c r="BA15" s="59">
        <v>0</v>
      </c>
      <c r="BB15" s="59" t="str">
        <f>"Great!! Gun pressure OK for hydrant spacings with "&amp; X17&amp;"% overlap"</f>
        <v>Great!! Gun pressure OK for hydrant spacings with 25% overlap</v>
      </c>
    </row>
    <row r="16" spans="1:59" ht="15" customHeight="1" x14ac:dyDescent="0.25">
      <c r="A16" s="78"/>
      <c r="B16" s="286" t="s">
        <v>114</v>
      </c>
      <c r="C16" s="287"/>
      <c r="D16" s="24">
        <v>1002</v>
      </c>
      <c r="E16" s="108" t="s">
        <v>32</v>
      </c>
      <c r="G16" s="78"/>
      <c r="H16" s="78"/>
      <c r="I16" s="78"/>
      <c r="J16" s="78"/>
      <c r="K16" s="78"/>
      <c r="L16" s="78"/>
      <c r="M16" s="78"/>
      <c r="N16" s="78"/>
      <c r="O16" s="78"/>
      <c r="S16" s="78"/>
      <c r="T16" s="78"/>
      <c r="V16" s="261" t="s">
        <v>127</v>
      </c>
      <c r="W16" s="262"/>
      <c r="X16" s="54">
        <v>78</v>
      </c>
      <c r="Y16" s="129" t="s">
        <v>93</v>
      </c>
      <c r="AA16" s="59" t="s">
        <v>128</v>
      </c>
      <c r="AC16" s="33">
        <v>50</v>
      </c>
      <c r="AD16" s="79"/>
      <c r="AE16" s="79" t="s">
        <v>129</v>
      </c>
      <c r="AF16" s="79">
        <f>IF(D13="",D12,D13)</f>
        <v>0.25</v>
      </c>
      <c r="AG16" s="79"/>
      <c r="AH16" s="79"/>
      <c r="AI16" s="79"/>
      <c r="AJ16" s="79"/>
      <c r="AK16" s="79"/>
      <c r="AL16" s="79"/>
      <c r="AM16" s="79"/>
      <c r="AN16" s="79"/>
      <c r="AO16" s="79"/>
      <c r="AP16" s="79"/>
      <c r="AQ16" s="79"/>
      <c r="AR16" s="79" t="s">
        <v>130</v>
      </c>
      <c r="AT16" s="117"/>
      <c r="AU16" s="117"/>
      <c r="AV16" s="79"/>
      <c r="AW16" s="79"/>
      <c r="BA16" s="59">
        <v>1</v>
      </c>
      <c r="BB16" s="126" t="s">
        <v>131</v>
      </c>
    </row>
    <row r="17" spans="1:54" ht="15" customHeight="1" x14ac:dyDescent="0.25">
      <c r="A17" s="78"/>
      <c r="B17" s="270" t="s">
        <v>117</v>
      </c>
      <c r="C17" s="271"/>
      <c r="D17" s="54">
        <v>1035</v>
      </c>
      <c r="E17" s="110" t="s">
        <v>32</v>
      </c>
      <c r="G17" s="78"/>
      <c r="H17" s="78"/>
      <c r="I17" s="78"/>
      <c r="J17" s="78"/>
      <c r="K17" s="78"/>
      <c r="L17" s="78"/>
      <c r="M17" s="78"/>
      <c r="N17" s="78"/>
      <c r="O17" s="78"/>
      <c r="P17" s="78"/>
      <c r="Q17" s="78"/>
      <c r="R17" s="78"/>
      <c r="S17" s="78"/>
      <c r="T17" s="78"/>
      <c r="U17" s="78"/>
      <c r="V17" s="261" t="s">
        <v>133</v>
      </c>
      <c r="W17" s="262"/>
      <c r="X17" s="42">
        <v>25</v>
      </c>
      <c r="Y17" s="129" t="s">
        <v>67</v>
      </c>
      <c r="AA17" s="59" t="s">
        <v>334</v>
      </c>
      <c r="AC17" s="33">
        <v>100</v>
      </c>
      <c r="AD17" s="79"/>
      <c r="AE17" s="131"/>
      <c r="AF17" s="131" t="s">
        <v>134</v>
      </c>
      <c r="AG17" s="103" t="s">
        <v>135</v>
      </c>
      <c r="AH17" s="103" t="s">
        <v>136</v>
      </c>
      <c r="AI17" s="103"/>
      <c r="AJ17" s="90"/>
      <c r="AK17" s="79"/>
      <c r="AL17" s="79"/>
      <c r="AM17" s="79"/>
      <c r="AN17" s="79"/>
      <c r="AO17" s="79"/>
      <c r="AP17" s="79"/>
      <c r="AQ17" s="79"/>
      <c r="AR17" s="79" t="s">
        <v>137</v>
      </c>
      <c r="AT17" s="79"/>
      <c r="AU17" s="132"/>
      <c r="AV17" s="79"/>
      <c r="AW17" s="79"/>
    </row>
    <row r="18" spans="1:54" ht="15.75" customHeight="1" x14ac:dyDescent="0.25">
      <c r="A18" s="78"/>
      <c r="B18" s="270" t="s">
        <v>102</v>
      </c>
      <c r="C18" s="271"/>
      <c r="D18" s="54">
        <v>40</v>
      </c>
      <c r="E18" s="110" t="s">
        <v>103</v>
      </c>
      <c r="F18" s="78"/>
      <c r="G18" s="78"/>
      <c r="H18" s="78"/>
      <c r="I18" s="78"/>
      <c r="J18" s="78"/>
      <c r="K18" s="78"/>
      <c r="L18" s="78"/>
      <c r="M18" s="78"/>
      <c r="N18" s="78"/>
      <c r="O18" s="78"/>
      <c r="P18" s="78"/>
      <c r="Q18" s="78"/>
      <c r="R18" s="78"/>
      <c r="S18" s="78"/>
      <c r="T18" s="78"/>
      <c r="U18" s="78"/>
      <c r="V18" s="261" t="s">
        <v>330</v>
      </c>
      <c r="W18" s="262"/>
      <c r="X18" s="134">
        <f>AF25</f>
        <v>97.5</v>
      </c>
      <c r="Y18" s="129" t="s">
        <v>93</v>
      </c>
      <c r="AD18" s="79"/>
      <c r="AE18" s="79" t="s">
        <v>140</v>
      </c>
      <c r="AF18" s="59">
        <f>D22</f>
        <v>0</v>
      </c>
      <c r="AG18" s="112">
        <f>D21</f>
        <v>400</v>
      </c>
      <c r="AH18" s="103">
        <f>IF(AF18=0,AG18,AF18)</f>
        <v>400</v>
      </c>
      <c r="AI18" s="103"/>
      <c r="AJ18" s="79"/>
      <c r="AK18" s="79"/>
      <c r="AL18" s="79"/>
      <c r="AM18" s="79"/>
      <c r="AN18" s="79"/>
      <c r="AO18" s="79"/>
      <c r="AP18" s="79"/>
      <c r="AQ18" s="79"/>
      <c r="AR18" s="79" t="s">
        <v>141</v>
      </c>
      <c r="AT18" s="117"/>
      <c r="AU18" s="117"/>
      <c r="AV18" s="79"/>
      <c r="AW18" s="79"/>
      <c r="BA18" s="59" t="s">
        <v>10</v>
      </c>
      <c r="BB18" s="59" t="s">
        <v>1</v>
      </c>
    </row>
    <row r="19" spans="1:54" x14ac:dyDescent="0.25">
      <c r="A19" s="78"/>
      <c r="B19" s="288" t="s">
        <v>151</v>
      </c>
      <c r="C19" s="289"/>
      <c r="D19" s="133">
        <f>VLOOKUP(B19,AE20:AF21,2, FALSE)*BB9</f>
        <v>1.2563610598431867</v>
      </c>
      <c r="E19" s="110" t="s">
        <v>111</v>
      </c>
      <c r="F19" s="78"/>
      <c r="G19" s="78"/>
      <c r="H19" s="78"/>
      <c r="I19" s="78"/>
      <c r="J19" s="78"/>
      <c r="K19" s="78"/>
      <c r="L19" s="78"/>
      <c r="M19" s="78"/>
      <c r="N19" s="78"/>
      <c r="O19" s="78"/>
      <c r="P19" s="78"/>
      <c r="Q19" s="78"/>
      <c r="R19" s="78"/>
      <c r="S19" s="78"/>
      <c r="T19" s="78"/>
      <c r="U19" s="78"/>
      <c r="V19" s="304" t="s">
        <v>139</v>
      </c>
      <c r="W19" s="305"/>
      <c r="X19" s="135">
        <f>AF26</f>
        <v>97.427598701313997</v>
      </c>
      <c r="Y19" s="136" t="s">
        <v>93</v>
      </c>
      <c r="AD19" s="79"/>
      <c r="AE19" s="103" t="s">
        <v>143</v>
      </c>
      <c r="AF19" s="103">
        <f>IF(OR(D20="",D20=0),0,VLOOKUP(E20,BA$9:BB$12,2,FALSE)*D20)</f>
        <v>2</v>
      </c>
      <c r="AG19" s="137">
        <f>D19</f>
        <v>1.2563610598431867</v>
      </c>
      <c r="AH19" s="103">
        <f>IF(AF19=0,AG19,AF19)</f>
        <v>2</v>
      </c>
      <c r="AI19" s="90"/>
      <c r="AJ19" s="79"/>
      <c r="AK19" s="79"/>
      <c r="AL19" s="79"/>
      <c r="AM19" s="79"/>
      <c r="AN19" s="79"/>
      <c r="AO19" s="79"/>
      <c r="AP19" s="79"/>
      <c r="AQ19" s="79"/>
      <c r="AR19" s="79" t="s">
        <v>144</v>
      </c>
      <c r="AT19" s="79"/>
      <c r="AU19" s="132"/>
      <c r="AV19" s="79"/>
      <c r="AW19" s="79"/>
      <c r="BA19" s="59" t="s">
        <v>145</v>
      </c>
      <c r="BB19" s="59" t="s">
        <v>33</v>
      </c>
    </row>
    <row r="20" spans="1:54" ht="15" customHeight="1" x14ac:dyDescent="0.25">
      <c r="A20" s="78"/>
      <c r="B20" s="263" t="s">
        <v>138</v>
      </c>
      <c r="C20" s="264"/>
      <c r="D20" s="25">
        <v>2</v>
      </c>
      <c r="E20" s="27" t="s">
        <v>111</v>
      </c>
      <c r="F20" s="78"/>
      <c r="G20" s="78"/>
      <c r="H20" s="78"/>
      <c r="I20" s="78"/>
      <c r="J20" s="78"/>
      <c r="K20" s="78"/>
      <c r="L20" s="78"/>
      <c r="M20" s="78"/>
      <c r="N20" s="78"/>
      <c r="O20" s="78"/>
      <c r="P20" s="78"/>
      <c r="Q20" s="78"/>
      <c r="R20" s="78"/>
      <c r="S20" s="78"/>
      <c r="T20" s="78"/>
      <c r="U20" s="78"/>
      <c r="AD20" s="79"/>
      <c r="AE20" s="79" t="s">
        <v>356</v>
      </c>
      <c r="AF20" s="139">
        <f>(D17-D16)*1000/D18/60</f>
        <v>13.75</v>
      </c>
      <c r="AH20" s="79"/>
      <c r="AJ20" s="79"/>
      <c r="AK20" s="79"/>
      <c r="AL20" s="79"/>
      <c r="AM20" s="79"/>
      <c r="AN20" s="79"/>
      <c r="AO20" s="79"/>
      <c r="AP20" s="79"/>
      <c r="AQ20" s="79"/>
      <c r="AR20" s="79" t="s">
        <v>147</v>
      </c>
      <c r="AS20" s="79"/>
      <c r="AT20" s="117"/>
      <c r="AU20" s="117"/>
      <c r="AV20" s="79"/>
      <c r="AW20" s="79"/>
      <c r="AX20" s="245"/>
      <c r="BA20" s="59" t="s">
        <v>24</v>
      </c>
      <c r="BB20" s="59" t="s">
        <v>33</v>
      </c>
    </row>
    <row r="21" spans="1:54" ht="15" customHeight="1" x14ac:dyDescent="0.25">
      <c r="A21" s="78"/>
      <c r="B21" s="265" t="s">
        <v>148</v>
      </c>
      <c r="C21" s="266"/>
      <c r="D21" s="138">
        <f>'STEP 1 Benchmark'!H12</f>
        <v>400</v>
      </c>
      <c r="E21" s="110" t="s">
        <v>323</v>
      </c>
      <c r="F21" s="78"/>
      <c r="G21" s="78"/>
      <c r="H21" s="78"/>
      <c r="I21" s="78"/>
      <c r="J21" s="78"/>
      <c r="N21" s="290" t="s">
        <v>149</v>
      </c>
      <c r="O21" s="292"/>
      <c r="R21" s="290" t="s">
        <v>150</v>
      </c>
      <c r="S21" s="292"/>
      <c r="V21" s="280" t="str">
        <f>VLOOKUP(AF27,BA14:BB16,2,FALSE)</f>
        <v>Great!! Gun pressure OK for hydrant spacings with 25% overlap</v>
      </c>
      <c r="W21" s="280"/>
      <c r="X21" s="280"/>
      <c r="Y21" s="280"/>
      <c r="AD21" s="79"/>
      <c r="AE21" s="79" t="s">
        <v>151</v>
      </c>
      <c r="AF21" s="140">
        <f>'Endgun models'!$H$4</f>
        <v>14.541215970407253</v>
      </c>
      <c r="AH21" s="79"/>
      <c r="AK21" s="79"/>
      <c r="AL21" s="79"/>
      <c r="AM21" s="79"/>
      <c r="AN21" s="79"/>
      <c r="AO21" s="79"/>
      <c r="AP21" s="79"/>
      <c r="AQ21" s="79"/>
      <c r="AR21" s="79" t="s">
        <v>152</v>
      </c>
      <c r="AS21" s="79"/>
      <c r="AT21" s="117"/>
      <c r="AU21" s="117"/>
      <c r="AV21" s="79"/>
      <c r="AW21" s="79"/>
      <c r="AX21" s="245"/>
      <c r="BA21" s="59" t="s">
        <v>145</v>
      </c>
      <c r="BB21" s="59" t="s">
        <v>114</v>
      </c>
    </row>
    <row r="22" spans="1:54" ht="15" customHeight="1" x14ac:dyDescent="0.25">
      <c r="A22" s="78"/>
      <c r="B22" s="263" t="s">
        <v>153</v>
      </c>
      <c r="C22" s="264"/>
      <c r="D22" s="25"/>
      <c r="E22" s="111" t="str">
        <f>E21</f>
        <v>ML/year</v>
      </c>
      <c r="F22" s="78"/>
      <c r="G22" s="78"/>
      <c r="H22" s="78"/>
      <c r="I22" s="78"/>
      <c r="J22" s="78"/>
      <c r="N22" s="306"/>
      <c r="O22" s="307"/>
      <c r="R22" s="306"/>
      <c r="S22" s="307"/>
      <c r="V22" s="280"/>
      <c r="W22" s="280"/>
      <c r="X22" s="280"/>
      <c r="Y22" s="280"/>
      <c r="AD22" s="79"/>
      <c r="AE22" s="79" t="s">
        <v>132</v>
      </c>
      <c r="AF22" s="141">
        <f>( 'STEP 1 Benchmark'!H12/('STEP 1 Benchmark'!D12/'STEP 2 Detailed analysis'!D11))*24/0.0864</f>
        <v>20.071428571428616</v>
      </c>
      <c r="AG22" s="79"/>
      <c r="AK22" s="79"/>
      <c r="AL22" s="79"/>
      <c r="AM22" s="79"/>
      <c r="AN22" s="79"/>
      <c r="AO22" s="79"/>
      <c r="AP22" s="79"/>
      <c r="AQ22" s="79"/>
      <c r="AR22" s="79" t="s">
        <v>155</v>
      </c>
      <c r="AS22" s="79"/>
      <c r="AT22" s="79"/>
      <c r="AU22" s="132"/>
      <c r="AV22" s="79"/>
      <c r="AW22" s="79"/>
      <c r="AX22" s="245"/>
      <c r="BA22" s="59" t="s">
        <v>156</v>
      </c>
      <c r="BB22" s="59" t="s">
        <v>117</v>
      </c>
    </row>
    <row r="23" spans="1:54" ht="15" customHeight="1" x14ac:dyDescent="0.25">
      <c r="A23" s="78"/>
      <c r="B23" s="78"/>
      <c r="F23" s="78"/>
      <c r="G23" s="322" t="str" cm="1">
        <f t="array" ref="G23">_xlfn.IFS(D28&lt;AC16,AE42,D28&lt;AC17,AE43,D28&gt;AC17,AE44)</f>
        <v>Motor is running at &gt;50% load. Motor efficiency should be close to rating.</v>
      </c>
      <c r="H23" s="322"/>
      <c r="I23" s="142"/>
      <c r="J23" s="78"/>
      <c r="N23" s="26">
        <v>100</v>
      </c>
      <c r="O23" s="111" t="s">
        <v>93</v>
      </c>
      <c r="R23" s="26">
        <v>100</v>
      </c>
      <c r="S23" s="111" t="s">
        <v>93</v>
      </c>
      <c r="V23" s="280"/>
      <c r="W23" s="280"/>
      <c r="X23" s="280"/>
      <c r="Y23" s="280"/>
      <c r="AD23" s="79"/>
      <c r="AE23" s="79" t="s">
        <v>154</v>
      </c>
      <c r="AF23" s="143">
        <f>2.725/0.255</f>
        <v>10.686274509803921</v>
      </c>
      <c r="AG23" s="143">
        <f>1/AF23</f>
        <v>9.3577981651376152E-2</v>
      </c>
      <c r="AH23" s="68"/>
      <c r="AK23" s="79"/>
      <c r="AL23" s="79"/>
      <c r="AM23" s="79"/>
      <c r="AN23" s="79"/>
      <c r="AO23" s="79"/>
      <c r="AP23" s="79"/>
      <c r="AQ23" s="79"/>
      <c r="AR23" s="103" t="s">
        <v>93</v>
      </c>
      <c r="AS23" s="79"/>
      <c r="AT23" s="117"/>
      <c r="AU23" s="117"/>
      <c r="AV23" s="79"/>
      <c r="AW23" s="79"/>
      <c r="AX23" s="245"/>
      <c r="BA23" s="59" t="s">
        <v>160</v>
      </c>
      <c r="BB23" s="59" t="s">
        <v>158</v>
      </c>
    </row>
    <row r="24" spans="1:54" ht="15" customHeight="1" x14ac:dyDescent="0.25">
      <c r="A24" s="78"/>
      <c r="B24" s="267" t="s">
        <v>346</v>
      </c>
      <c r="C24" s="268"/>
      <c r="D24" s="268"/>
      <c r="E24" s="269"/>
      <c r="F24" s="78"/>
      <c r="G24" s="322"/>
      <c r="H24" s="322"/>
      <c r="I24" s="142"/>
      <c r="U24" s="311" t="str" cm="1">
        <f t="array" ref="U24">_xlfn.IFS(X32&lt;0,AE38,NOT(AF35),AE39,TRUE,"")</f>
        <v>^Note: Total potential savings are reduced because pressure at the gun should be increased to improve uniformity.</v>
      </c>
      <c r="V24" s="311"/>
      <c r="W24" s="311"/>
      <c r="X24" s="311"/>
      <c r="Y24" s="311"/>
      <c r="AE24" s="79" t="s">
        <v>159</v>
      </c>
      <c r="AF24" s="59">
        <f>IF(E6=BA18,D27,D26)</f>
        <v>93.6</v>
      </c>
      <c r="AH24" s="68"/>
      <c r="AI24" s="79"/>
      <c r="AJ24" s="79"/>
      <c r="AR24" s="79" t="s">
        <v>163</v>
      </c>
      <c r="AS24" s="79"/>
      <c r="AX24" s="245"/>
      <c r="BA24" s="59" t="s">
        <v>353</v>
      </c>
      <c r="BB24" s="59" t="s">
        <v>354</v>
      </c>
    </row>
    <row r="25" spans="1:54" ht="15" customHeight="1" x14ac:dyDescent="0.25">
      <c r="A25" s="78"/>
      <c r="B25" s="270" t="s">
        <v>157</v>
      </c>
      <c r="C25" s="271"/>
      <c r="D25" s="50">
        <v>42</v>
      </c>
      <c r="E25" s="129" t="s">
        <v>158</v>
      </c>
      <c r="F25" s="78"/>
      <c r="G25" s="322"/>
      <c r="H25" s="322"/>
      <c r="I25" s="142"/>
      <c r="N25" s="321" t="s">
        <v>164</v>
      </c>
      <c r="O25" s="321"/>
      <c r="P25" s="321"/>
      <c r="Q25" s="321"/>
      <c r="R25" s="321"/>
      <c r="S25" s="321"/>
      <c r="U25" s="311"/>
      <c r="V25" s="311"/>
      <c r="W25" s="311"/>
      <c r="X25" s="311"/>
      <c r="Y25" s="311"/>
      <c r="AE25" s="145" t="s">
        <v>165</v>
      </c>
      <c r="AF25" s="68">
        <f>X16*(1+(X17/100))</f>
        <v>97.5</v>
      </c>
      <c r="AG25" s="146" t="s">
        <v>93</v>
      </c>
      <c r="AH25" s="79"/>
      <c r="AI25" s="79"/>
      <c r="AJ25" s="79"/>
      <c r="AR25" s="79" t="s">
        <v>166</v>
      </c>
      <c r="AS25" s="79"/>
      <c r="AX25" s="245"/>
      <c r="BA25" s="59" t="s">
        <v>355</v>
      </c>
    </row>
    <row r="26" spans="1:54" x14ac:dyDescent="0.25">
      <c r="A26" s="78"/>
      <c r="B26" s="259" t="s">
        <v>161</v>
      </c>
      <c r="C26" s="260"/>
      <c r="D26" s="50">
        <v>93.6</v>
      </c>
      <c r="E26" s="144" t="s">
        <v>67</v>
      </c>
      <c r="F26" s="78"/>
      <c r="G26" s="322"/>
      <c r="H26" s="322"/>
      <c r="I26" s="142"/>
      <c r="N26" s="321"/>
      <c r="O26" s="321"/>
      <c r="P26" s="321"/>
      <c r="Q26" s="321"/>
      <c r="R26" s="321"/>
      <c r="S26" s="321"/>
      <c r="U26" s="311"/>
      <c r="V26" s="311"/>
      <c r="W26" s="311"/>
      <c r="X26" s="311"/>
      <c r="Y26" s="311"/>
      <c r="AE26" s="145" t="s">
        <v>169</v>
      </c>
      <c r="AF26" s="148">
        <f>'Endgun models'!K4*2</f>
        <v>97.427598701313997</v>
      </c>
      <c r="AG26" s="149" t="s">
        <v>93</v>
      </c>
      <c r="AH26" s="79"/>
      <c r="AI26" s="79"/>
      <c r="AJ26" s="79"/>
      <c r="AR26" s="79" t="s">
        <v>170</v>
      </c>
      <c r="AS26" s="79"/>
      <c r="AX26" s="245"/>
    </row>
    <row r="27" spans="1:54" x14ac:dyDescent="0.25">
      <c r="A27" s="78"/>
      <c r="B27" s="261" t="str">
        <f>IF(E11="kW","(from name plate)","(from motor specs)")</f>
        <v>(from name plate)</v>
      </c>
      <c r="C27" s="262"/>
      <c r="D27" s="50">
        <v>35</v>
      </c>
      <c r="E27" s="147" t="str">
        <f>"%  ("&amp; ROUND(AG23,2) &amp; " L/kWh)"</f>
        <v>%  (0.09 L/kWh)</v>
      </c>
      <c r="F27" s="78"/>
      <c r="G27" s="322"/>
      <c r="H27" s="322"/>
      <c r="I27" s="142"/>
      <c r="N27" s="321"/>
      <c r="O27" s="321"/>
      <c r="P27" s="321"/>
      <c r="Q27" s="321"/>
      <c r="R27" s="321"/>
      <c r="S27" s="321"/>
      <c r="U27" s="311"/>
      <c r="V27" s="311"/>
      <c r="W27" s="311"/>
      <c r="X27" s="311"/>
      <c r="Y27" s="311"/>
      <c r="Z27" s="78"/>
      <c r="AE27" s="79" t="s">
        <v>172</v>
      </c>
      <c r="AF27" s="150">
        <f>IF(AF26*(1+AC13/100)&lt;AF25, -1, IF(AF26&gt;AF25*(1+AC13/100), 1,0))</f>
        <v>0</v>
      </c>
      <c r="AG27" s="79"/>
      <c r="AH27" s="79"/>
      <c r="AI27" s="79"/>
      <c r="AJ27" s="79"/>
      <c r="AR27" s="79" t="s">
        <v>173</v>
      </c>
      <c r="AS27" s="79"/>
      <c r="AX27" s="245"/>
    </row>
    <row r="28" spans="1:54" x14ac:dyDescent="0.25">
      <c r="A28" s="78"/>
      <c r="B28" s="263" t="s">
        <v>167</v>
      </c>
      <c r="C28" s="264"/>
      <c r="D28" s="43">
        <f>(SUM(AI5:AI9)/D25)*100</f>
        <v>56.360571428571546</v>
      </c>
      <c r="E28" s="136" t="s">
        <v>67</v>
      </c>
      <c r="F28" s="78"/>
      <c r="H28" s="78"/>
      <c r="I28" s="78"/>
      <c r="J28" s="78"/>
      <c r="K28" s="151"/>
      <c r="L28" s="328"/>
      <c r="M28" s="328"/>
      <c r="T28" s="78"/>
      <c r="Z28" s="78"/>
      <c r="AG28" s="79"/>
      <c r="AH28" s="79"/>
      <c r="AI28" s="79"/>
      <c r="AJ28" s="79"/>
      <c r="AR28" s="79" t="s">
        <v>174</v>
      </c>
      <c r="AS28" s="79"/>
      <c r="AX28" s="245"/>
    </row>
    <row r="29" spans="1:54" ht="16.5" customHeight="1" x14ac:dyDescent="0.3">
      <c r="A29" s="78"/>
      <c r="B29" s="78"/>
      <c r="F29" s="78"/>
      <c r="G29" s="317" t="s">
        <v>81</v>
      </c>
      <c r="H29" s="318"/>
      <c r="I29" s="318"/>
      <c r="J29" s="318" t="s">
        <v>175</v>
      </c>
      <c r="K29" s="327"/>
      <c r="N29" s="317" t="s">
        <v>176</v>
      </c>
      <c r="O29" s="318"/>
      <c r="P29" s="152" t="s">
        <v>177</v>
      </c>
      <c r="Q29" s="153" t="s">
        <v>97</v>
      </c>
      <c r="R29" s="152"/>
      <c r="S29" s="154"/>
      <c r="U29" s="317" t="s">
        <v>178</v>
      </c>
      <c r="V29" s="318"/>
      <c r="W29" s="318"/>
      <c r="X29" s="318"/>
      <c r="Y29" s="327"/>
      <c r="AE29" s="59" t="s">
        <v>179</v>
      </c>
      <c r="AR29" s="79" t="s">
        <v>335</v>
      </c>
    </row>
    <row r="30" spans="1:54" ht="16.5" customHeight="1" x14ac:dyDescent="0.25">
      <c r="B30" s="78"/>
      <c r="F30" s="78"/>
      <c r="G30" s="155" t="s">
        <v>137</v>
      </c>
      <c r="H30" s="44">
        <f>IF(E6=BB18,((AH19/0.0864)*AF11)/(1.019977*D11*(AF24/100))/100,((AH19/0.0864)*AF11)/(1.02*(D11*AF23)*(AF24/100))/100)</f>
        <v>0.57524446257412776</v>
      </c>
      <c r="I30" s="63" t="str" cm="1">
        <f t="array" ref="I30">_xlfn.IFS(H30&lt;BF5,AE50,H30&lt;BF6,AE51,H30&gt;1,AE53,H30&gt;BF6,AE52)</f>
        <v>Poor</v>
      </c>
      <c r="J30" s="45">
        <f>AN13</f>
        <v>75.870000000000175</v>
      </c>
      <c r="K30" s="156" t="s">
        <v>180</v>
      </c>
      <c r="M30" s="157"/>
      <c r="N30" s="319" t="str">
        <f>IF(P8&gt;0,AR17,AR22)</f>
        <v>Current</v>
      </c>
      <c r="O30" s="320"/>
      <c r="P30" s="158">
        <f>AH6</f>
        <v>10</v>
      </c>
      <c r="Q30" s="330">
        <f>AH7</f>
        <v>8</v>
      </c>
      <c r="R30" s="330"/>
      <c r="S30" s="156" t="s">
        <v>141</v>
      </c>
      <c r="U30" s="319" t="s">
        <v>137</v>
      </c>
      <c r="V30" s="320"/>
      <c r="W30" s="320"/>
      <c r="X30" s="158">
        <f>AD10/VLOOKUP(Y30,BA4:BB7,2,FALSE)</f>
        <v>42</v>
      </c>
      <c r="Y30" s="156" t="str">
        <f>Y8</f>
        <v>m</v>
      </c>
      <c r="AE30" s="59" t="str">
        <f>'Endgun models'!O4</f>
        <v>minimum</v>
      </c>
      <c r="AF30" s="59">
        <f>'Endgun models'!O5*VLOOKUP("m",BA4:BC7,3,FALSE)</f>
        <v>28.129984596</v>
      </c>
      <c r="AR30" s="59" t="s">
        <v>352</v>
      </c>
    </row>
    <row r="31" spans="1:54" ht="15.75" x14ac:dyDescent="0.25">
      <c r="A31" s="78"/>
      <c r="F31" s="78"/>
      <c r="G31" s="159" t="s">
        <v>181</v>
      </c>
      <c r="H31" s="28">
        <v>0.9</v>
      </c>
      <c r="I31" s="160"/>
      <c r="J31" s="47">
        <f>AV11</f>
        <v>56.871950273231818</v>
      </c>
      <c r="K31" s="156" t="s">
        <v>180</v>
      </c>
      <c r="M31" s="157"/>
      <c r="N31" s="319" t="str">
        <f>AR19</f>
        <v>Target</v>
      </c>
      <c r="O31" s="320"/>
      <c r="P31" s="29">
        <v>1</v>
      </c>
      <c r="Q31" s="331">
        <v>5</v>
      </c>
      <c r="R31" s="331"/>
      <c r="S31" s="156" t="s">
        <v>182</v>
      </c>
      <c r="U31" s="319" t="str">
        <f>IF(AF35,AR26,AR20)</f>
        <v>Target pressure</v>
      </c>
      <c r="V31" s="320"/>
      <c r="W31" s="320"/>
      <c r="X31" s="161">
        <f>AR8/VLOOKUP(Y31,BA4:BB7,2,FALSE)</f>
        <v>42.082739170059945</v>
      </c>
      <c r="Y31" s="156" t="str">
        <f>Y8</f>
        <v>m</v>
      </c>
      <c r="AE31" s="59" t="str">
        <f>'Endgun models'!O7</f>
        <v>maximum</v>
      </c>
      <c r="AF31" s="59">
        <f>'Endgun models'!O8*VLOOKUP("m",BA4:BC7,3,FALSE)</f>
        <v>77.357457639000003</v>
      </c>
    </row>
    <row r="32" spans="1:54" ht="15.75" x14ac:dyDescent="0.25">
      <c r="A32" s="78"/>
      <c r="B32" s="78"/>
      <c r="F32" s="78"/>
      <c r="G32" s="162" t="s">
        <v>173</v>
      </c>
      <c r="H32" s="163"/>
      <c r="I32" s="163"/>
      <c r="J32" s="164">
        <f>IF(AO9-AT9&gt;0,AO9-AT9,0)</f>
        <v>4353.7053050461891</v>
      </c>
      <c r="K32" s="165" t="s">
        <v>322</v>
      </c>
      <c r="M32" s="157"/>
      <c r="N32" s="325" t="s">
        <v>173</v>
      </c>
      <c r="O32" s="326"/>
      <c r="P32" s="166">
        <f>AU6</f>
        <v>2451.0356999999999</v>
      </c>
      <c r="Q32" s="316">
        <f>AU7</f>
        <v>817.01189999999997</v>
      </c>
      <c r="R32" s="316"/>
      <c r="S32" s="165" t="s">
        <v>322</v>
      </c>
      <c r="U32" s="325" t="str">
        <f>IF(AF35,IF(X32&lt;0,AR28,AR27),AR21)</f>
        <v>COST to correct^</v>
      </c>
      <c r="V32" s="326"/>
      <c r="W32" s="326"/>
      <c r="X32" s="167">
        <f>AU8</f>
        <v>-22.532961816226816</v>
      </c>
      <c r="Y32" s="165" t="s">
        <v>322</v>
      </c>
    </row>
    <row r="33" spans="1:56" ht="18.75" x14ac:dyDescent="0.3">
      <c r="A33" s="168"/>
      <c r="B33" s="78"/>
      <c r="AE33" s="79" t="s">
        <v>183</v>
      </c>
      <c r="AF33" s="59">
        <f>AD10/BB4</f>
        <v>59.722748664599997</v>
      </c>
    </row>
    <row r="34" spans="1:56" ht="16.5" customHeight="1" x14ac:dyDescent="0.3">
      <c r="B34" s="168"/>
      <c r="AD34" s="169"/>
      <c r="AE34" s="79" t="s">
        <v>184</v>
      </c>
      <c r="AF34" s="59" t="b">
        <f>AND(NOT('STEP 2 Detailed analysis'!AF33&gt;'Endgun models'!O8),NOT('STEP 2 Detailed analysis'!AF33&lt;'Endgun models'!O5))</f>
        <v>1</v>
      </c>
      <c r="AG34" s="169"/>
    </row>
    <row r="35" spans="1:56" ht="15" customHeight="1" x14ac:dyDescent="0.25">
      <c r="AE35" s="79" t="s">
        <v>185</v>
      </c>
      <c r="AF35" s="59" t="b">
        <f>IFERROR(NOT(OR(AND(ISERROR(AR8),IFERROR(AR8&gt;0,TRUE)),AR8&gt;AF31,AR8&lt;AF30)),FALSE)</f>
        <v>1</v>
      </c>
      <c r="AG35" s="169"/>
      <c r="AH35" s="169"/>
    </row>
    <row r="36" spans="1:56" ht="15.75" customHeight="1" x14ac:dyDescent="0.35">
      <c r="G36" s="170"/>
      <c r="H36" s="171"/>
      <c r="I36" s="171"/>
      <c r="J36" s="171"/>
      <c r="K36" s="172" t="s">
        <v>186</v>
      </c>
      <c r="L36" s="172"/>
      <c r="M36" s="172"/>
      <c r="N36" s="172"/>
      <c r="O36" s="172"/>
      <c r="P36" s="329">
        <f>AU11</f>
        <v>7599.2199432299622</v>
      </c>
      <c r="Q36" s="329"/>
      <c r="R36" s="171" t="s">
        <v>322</v>
      </c>
      <c r="S36" s="171"/>
      <c r="T36" s="171"/>
      <c r="U36" s="171"/>
      <c r="V36" s="171"/>
      <c r="W36" s="171"/>
      <c r="X36" s="171"/>
      <c r="Y36" s="173"/>
      <c r="AG36" s="169"/>
      <c r="AH36" s="169"/>
    </row>
    <row r="37" spans="1:56" x14ac:dyDescent="0.25">
      <c r="AE37" s="79" t="s">
        <v>187</v>
      </c>
      <c r="AG37" s="169"/>
      <c r="AH37" s="169"/>
    </row>
    <row r="38" spans="1:56" ht="12.75" customHeight="1" x14ac:dyDescent="0.25">
      <c r="E38" s="174"/>
      <c r="AE38" s="131" t="s">
        <v>188</v>
      </c>
      <c r="AF38" s="169"/>
    </row>
    <row r="39" spans="1:56" x14ac:dyDescent="0.25">
      <c r="AE39" s="131" t="s">
        <v>329</v>
      </c>
      <c r="AF39" s="169"/>
    </row>
    <row r="40" spans="1:56" x14ac:dyDescent="0.25">
      <c r="AF40" s="169"/>
    </row>
    <row r="41" spans="1:56" x14ac:dyDescent="0.25">
      <c r="AE41" s="59" t="s">
        <v>317</v>
      </c>
    </row>
    <row r="42" spans="1:56" x14ac:dyDescent="0.25">
      <c r="AE42" s="59" t="str">
        <f>"Warning: motor is underloaded (&lt;" &amp; AC16 &amp;"%). This may reduce efficiency."</f>
        <v>Warning: motor is underloaded (&lt;50%). This may reduce efficiency.</v>
      </c>
    </row>
    <row r="43" spans="1:56" x14ac:dyDescent="0.25">
      <c r="AE43" s="59" t="s">
        <v>318</v>
      </c>
    </row>
    <row r="44" spans="1:56" x14ac:dyDescent="0.25">
      <c r="AE44" s="59" t="s">
        <v>333</v>
      </c>
      <c r="BA44" s="175" t="s">
        <v>162</v>
      </c>
      <c r="BB44" s="176"/>
      <c r="BC44" s="323"/>
      <c r="BD44" s="324"/>
    </row>
    <row r="45" spans="1:56" x14ac:dyDescent="0.25">
      <c r="BA45" s="177" t="s">
        <v>64</v>
      </c>
      <c r="BB45" s="178">
        <f>AF11/VLOOKUP(BC45,BA4:BB7,2,FALSE)</f>
        <v>60</v>
      </c>
      <c r="BC45" s="313" t="s">
        <v>93</v>
      </c>
      <c r="BD45" s="313"/>
    </row>
    <row r="46" spans="1:56" ht="15" customHeight="1" x14ac:dyDescent="0.25">
      <c r="AE46" s="179" t="s">
        <v>331</v>
      </c>
      <c r="BA46" s="177" t="s">
        <v>168</v>
      </c>
      <c r="BB46" s="178">
        <f>AH19/VLOOKUP(BC46,BA$9:BB$12,2,FALSE)</f>
        <v>83.333333333333329</v>
      </c>
      <c r="BC46" s="313" t="s">
        <v>113</v>
      </c>
      <c r="BD46" s="313"/>
    </row>
    <row r="47" spans="1:56" x14ac:dyDescent="0.25">
      <c r="AE47" s="179" t="str">
        <f>"Saving: $"&amp;ROUND(AU11,0)</f>
        <v>Saving: $7599</v>
      </c>
      <c r="BA47" s="180" t="s">
        <v>171</v>
      </c>
      <c r="BB47" s="113">
        <f>SUM(AI5:AI9)</f>
        <v>23.67144000000005</v>
      </c>
      <c r="BC47" s="264" t="s">
        <v>158</v>
      </c>
      <c r="BD47" s="312"/>
    </row>
    <row r="48" spans="1:56" ht="15" customHeight="1" x14ac:dyDescent="0.25">
      <c r="AE48" s="179"/>
    </row>
    <row r="49" spans="8:31" ht="15" customHeight="1" x14ac:dyDescent="0.25">
      <c r="AE49" s="179" t="s">
        <v>348</v>
      </c>
    </row>
    <row r="50" spans="8:31" x14ac:dyDescent="0.25">
      <c r="AE50" s="179" t="s">
        <v>349</v>
      </c>
    </row>
    <row r="51" spans="8:31" x14ac:dyDescent="0.25">
      <c r="AE51" s="179" t="s">
        <v>350</v>
      </c>
    </row>
    <row r="52" spans="8:31" x14ac:dyDescent="0.25">
      <c r="H52" s="181"/>
      <c r="AE52" s="179" t="s">
        <v>351</v>
      </c>
    </row>
    <row r="53" spans="8:31" x14ac:dyDescent="0.25">
      <c r="AE53" s="79" t="s">
        <v>347</v>
      </c>
    </row>
    <row r="54" spans="8:31" x14ac:dyDescent="0.25">
      <c r="H54" s="181"/>
      <c r="J54" s="182"/>
    </row>
    <row r="55" spans="8:31" x14ac:dyDescent="0.25">
      <c r="AE55" s="179" t="s">
        <v>357</v>
      </c>
    </row>
    <row r="56" spans="8:31" x14ac:dyDescent="0.25">
      <c r="AE56" s="179" t="s">
        <v>359</v>
      </c>
    </row>
    <row r="57" spans="8:31" x14ac:dyDescent="0.25">
      <c r="AE57" s="179" t="s">
        <v>358</v>
      </c>
    </row>
    <row r="65" spans="17:18" ht="14.65" customHeight="1" x14ac:dyDescent="0.25"/>
    <row r="78" spans="17:18" ht="15.75" x14ac:dyDescent="0.25">
      <c r="Q78" s="183"/>
      <c r="R78" s="183"/>
    </row>
    <row r="86" spans="9:24" x14ac:dyDescent="0.25">
      <c r="X86" s="139"/>
    </row>
    <row r="87" spans="9:24" x14ac:dyDescent="0.25">
      <c r="V87" s="112"/>
    </row>
    <row r="88" spans="9:24" x14ac:dyDescent="0.25">
      <c r="I88" s="139"/>
      <c r="J88" s="139"/>
    </row>
    <row r="91" spans="9:24" x14ac:dyDescent="0.25">
      <c r="M91" s="60"/>
      <c r="N91" s="60"/>
    </row>
    <row r="92" spans="9:24" x14ac:dyDescent="0.25">
      <c r="I92" s="139"/>
      <c r="J92" s="139"/>
      <c r="M92" s="184"/>
      <c r="N92" s="184"/>
    </row>
    <row r="93" spans="9:24" x14ac:dyDescent="0.25">
      <c r="I93" s="185"/>
      <c r="J93" s="185"/>
      <c r="P93" s="185"/>
    </row>
    <row r="94" spans="9:24" x14ac:dyDescent="0.25">
      <c r="I94" s="186"/>
      <c r="J94" s="186"/>
      <c r="P94" s="185"/>
    </row>
  </sheetData>
  <sheetProtection algorithmName="SHA-512" hashValue="7pUTx7DcXM2Oq3BGajFTLVAPg41vgWyZBdec6rdJQkB2PLiBnAlVwk8RFHl0PpPdLfTJal5hF7/v9L2fMuwDTg==" saltValue="8RPbW+cv+jXgwv/IIJjI+g==" spinCount="100000" sheet="1" selectLockedCells="1"/>
  <mergeCells count="65">
    <mergeCell ref="G23:H27"/>
    <mergeCell ref="BC44:BD44"/>
    <mergeCell ref="BC45:BD45"/>
    <mergeCell ref="U32:W32"/>
    <mergeCell ref="U31:W31"/>
    <mergeCell ref="U30:W30"/>
    <mergeCell ref="U29:Y29"/>
    <mergeCell ref="G29:I29"/>
    <mergeCell ref="J29:K29"/>
    <mergeCell ref="L28:M28"/>
    <mergeCell ref="P36:Q36"/>
    <mergeCell ref="N32:O32"/>
    <mergeCell ref="Q30:R30"/>
    <mergeCell ref="Q31:R31"/>
    <mergeCell ref="AF1:AG1"/>
    <mergeCell ref="M6:N7"/>
    <mergeCell ref="K10:O12"/>
    <mergeCell ref="U24:Y27"/>
    <mergeCell ref="BC47:BD47"/>
    <mergeCell ref="V18:W18"/>
    <mergeCell ref="BC46:BD46"/>
    <mergeCell ref="J6:K7"/>
    <mergeCell ref="P6:Q6"/>
    <mergeCell ref="P7:Q7"/>
    <mergeCell ref="Q32:R32"/>
    <mergeCell ref="N29:O29"/>
    <mergeCell ref="N30:O30"/>
    <mergeCell ref="N31:O31"/>
    <mergeCell ref="N25:S27"/>
    <mergeCell ref="R21:S22"/>
    <mergeCell ref="BE4:BG4"/>
    <mergeCell ref="V19:W19"/>
    <mergeCell ref="V16:W16"/>
    <mergeCell ref="V17:W17"/>
    <mergeCell ref="N21:O22"/>
    <mergeCell ref="Q10:T12"/>
    <mergeCell ref="V21:Y23"/>
    <mergeCell ref="G6:H7"/>
    <mergeCell ref="S6:T7"/>
    <mergeCell ref="V11:Y13"/>
    <mergeCell ref="C2:Y4"/>
    <mergeCell ref="B20:C20"/>
    <mergeCell ref="B15:E15"/>
    <mergeCell ref="B16:C16"/>
    <mergeCell ref="B17:C17"/>
    <mergeCell ref="B18:C18"/>
    <mergeCell ref="B19:C19"/>
    <mergeCell ref="B8:C8"/>
    <mergeCell ref="B9:C9"/>
    <mergeCell ref="W6:Y6"/>
    <mergeCell ref="W7:Y7"/>
    <mergeCell ref="W8:X8"/>
    <mergeCell ref="W9:Y10"/>
    <mergeCell ref="B6:D6"/>
    <mergeCell ref="B7:C7"/>
    <mergeCell ref="B11:C11"/>
    <mergeCell ref="B12:C12"/>
    <mergeCell ref="B13:C13"/>
    <mergeCell ref="B26:C26"/>
    <mergeCell ref="B27:C27"/>
    <mergeCell ref="B28:C28"/>
    <mergeCell ref="B21:C21"/>
    <mergeCell ref="B22:C22"/>
    <mergeCell ref="B24:E24"/>
    <mergeCell ref="B25:C25"/>
  </mergeCells>
  <phoneticPr fontId="37" type="noConversion"/>
  <conditionalFormatting sqref="X32">
    <cfRule type="cellIs" dxfId="48" priority="44" operator="lessThan">
      <formula>0</formula>
    </cfRule>
  </conditionalFormatting>
  <conditionalFormatting sqref="N25">
    <cfRule type="expression" dxfId="47" priority="74">
      <formula>$P$8&gt;0</formula>
    </cfRule>
  </conditionalFormatting>
  <conditionalFormatting sqref="V11">
    <cfRule type="expression" dxfId="46" priority="86">
      <formula>$AF$34</formula>
    </cfRule>
  </conditionalFormatting>
  <conditionalFormatting sqref="D21">
    <cfRule type="expression" dxfId="45" priority="30">
      <formula>$D$22&gt;0</formula>
    </cfRule>
  </conditionalFormatting>
  <conditionalFormatting sqref="D12">
    <cfRule type="expression" dxfId="44" priority="29">
      <formula>$D$13&gt;0</formula>
    </cfRule>
  </conditionalFormatting>
  <conditionalFormatting sqref="D28">
    <cfRule type="cellIs" dxfId="43" priority="14" operator="greaterThan">
      <formula>100</formula>
    </cfRule>
    <cfRule type="cellIs" dxfId="42" priority="21" operator="lessThan">
      <formula>$AC$16</formula>
    </cfRule>
  </conditionalFormatting>
  <conditionalFormatting sqref="X31:Y32">
    <cfRule type="expression" dxfId="41" priority="101">
      <formula>NOT($AF$35)</formula>
    </cfRule>
  </conditionalFormatting>
  <conditionalFormatting sqref="Y14">
    <cfRule type="containsErrors" dxfId="40" priority="106">
      <formula>ISERROR(Y14)</formula>
    </cfRule>
  </conditionalFormatting>
  <conditionalFormatting sqref="U24">
    <cfRule type="expression" dxfId="39" priority="107">
      <formula>NOT($AF$35)</formula>
    </cfRule>
    <cfRule type="expression" dxfId="38" priority="108">
      <formula>$X$32&lt;0</formula>
    </cfRule>
  </conditionalFormatting>
  <conditionalFormatting sqref="W9">
    <cfRule type="expression" dxfId="37" priority="15">
      <formula>$W$9=$AR$30</formula>
    </cfRule>
  </conditionalFormatting>
  <conditionalFormatting sqref="H30:I30">
    <cfRule type="expression" dxfId="36" priority="8">
      <formula>$I$30=$AE$53</formula>
    </cfRule>
    <cfRule type="expression" dxfId="35" priority="10">
      <formula>$I$30=$AE$50</formula>
    </cfRule>
    <cfRule type="expression" dxfId="34" priority="11">
      <formula>$I$30=$AE$51</formula>
    </cfRule>
    <cfRule type="expression" dxfId="33" priority="12">
      <formula>$I$30=$AE$52</formula>
    </cfRule>
  </conditionalFormatting>
  <conditionalFormatting sqref="V21">
    <cfRule type="expression" dxfId="32" priority="9">
      <formula>$AF$27=0</formula>
    </cfRule>
  </conditionalFormatting>
  <conditionalFormatting sqref="D19 BB45:BB47">
    <cfRule type="expression" dxfId="31" priority="134">
      <formula>$D$20&gt;0</formula>
    </cfRule>
  </conditionalFormatting>
  <conditionalFormatting sqref="K10:O12">
    <cfRule type="expression" dxfId="30" priority="6">
      <formula>$AF$6&lt;0</formula>
    </cfRule>
  </conditionalFormatting>
  <conditionalFormatting sqref="Q10:T12">
    <cfRule type="expression" dxfId="29" priority="5">
      <formula>$AF$7&lt;0</formula>
    </cfRule>
  </conditionalFormatting>
  <conditionalFormatting sqref="E27">
    <cfRule type="expression" dxfId="28" priority="195">
      <formula>$E$6=$BB$18</formula>
    </cfRule>
  </conditionalFormatting>
  <conditionalFormatting sqref="E26">
    <cfRule type="expression" dxfId="27" priority="199">
      <formula>$E$6=$BA$18</formula>
    </cfRule>
  </conditionalFormatting>
  <conditionalFormatting sqref="G23">
    <cfRule type="expression" dxfId="26" priority="201">
      <formula>AND($D$28&gt;$AC$16,$D$28&lt;$AC$17)</formula>
    </cfRule>
    <cfRule type="expression" dxfId="25" priority="202">
      <formula>$D$28&lt;=$AC$16</formula>
    </cfRule>
  </conditionalFormatting>
  <conditionalFormatting sqref="G23:H27">
    <cfRule type="expression" dxfId="24" priority="203">
      <formula>$D$28&gt;$AC$17</formula>
    </cfRule>
  </conditionalFormatting>
  <conditionalFormatting sqref="B10:D10">
    <cfRule type="expression" dxfId="23" priority="4">
      <formula>$E$6=$BA$18</formula>
    </cfRule>
  </conditionalFormatting>
  <conditionalFormatting sqref="D26">
    <cfRule type="expression" dxfId="22" priority="2">
      <formula>$E$6=$BA$18</formula>
    </cfRule>
  </conditionalFormatting>
  <conditionalFormatting sqref="D27">
    <cfRule type="expression" dxfId="21" priority="1">
      <formula>$E$6=$BB$18</formula>
    </cfRule>
  </conditionalFormatting>
  <dataValidations count="5">
    <dataValidation type="list" allowBlank="1" showInputMessage="1" showErrorMessage="1" sqref="Q8:R8 Y8 K8:L8 BC45" xr:uid="{FAEDDD88-3ED2-45DE-B9AA-A0F90AEA3EBD}">
      <formula1>$BA$4:$BA$7</formula1>
    </dataValidation>
    <dataValidation type="decimal" allowBlank="1" showInputMessage="1" showErrorMessage="1" errorTitle="Target overlap error" error="Enter a number between 0 and 100" sqref="X17" xr:uid="{4D2D9DDF-221F-4BB0-9A22-49D3C25BABD9}">
      <formula1>0</formula1>
      <formula2>100</formula2>
    </dataValidation>
    <dataValidation type="list" allowBlank="1" showInputMessage="1" showErrorMessage="1" sqref="BC46 E20:E22" xr:uid="{241D1B8D-B5CD-434A-994D-F0983CB35429}">
      <formula1>$BA$9:$BA$12</formula1>
    </dataValidation>
    <dataValidation type="list" allowBlank="1" showInputMessage="1" showErrorMessage="1" sqref="E6" xr:uid="{A33918BF-9A7F-4BCA-A50D-863444E137AA}">
      <formula1>$BA$18:$BB$18</formula1>
    </dataValidation>
    <dataValidation type="list" allowBlank="1" showInputMessage="1" showErrorMessage="1" sqref="B19:C19" xr:uid="{461D19D9-3CBA-482B-AC63-78DDB944E530}">
      <formula1>$AE$20:$AE$21</formula1>
    </dataValidation>
  </dataValidations>
  <pageMargins left="0.7" right="0.7" top="0.75" bottom="0.75" header="0.3" footer="0.3"/>
  <pageSetup paperSize="9" scale="16" orientation="landscape" verticalDpi="90" r:id="rId1"/>
  <headerFooter>
    <oddHeader>&amp;C&amp;"Calibri"&amp;12&amp;K000000UNOFFICIAL&amp;1#</oddHeader>
    <oddFooter>&amp;C&amp;1#&amp;"Calibri"&amp;12&amp;K000000UNOFFICIAL</oddFooter>
  </headerFooter>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31340177-4C11-4614-8E32-2E02A5C80CF4}">
          <x14:formula1>
            <xm:f>INDIRECT(VLOOKUP($X$14,'Endgun models'!$W$9:$X$30,2,FALSE))</xm:f>
          </x14:formula1>
          <xm:sqref>X15 X19</xm:sqref>
        </x14:dataValidation>
        <x14:dataValidation type="list" allowBlank="1" showInputMessage="1" showErrorMessage="1" xr:uid="{A8860E3A-AC15-4031-9586-A8CF10F2FA1A}">
          <x14:formula1>
            <xm:f>'Endgun models'!$F$6:$F$21</xm:f>
          </x14:formula1>
          <xm:sqref>X14</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0F606-568C-4163-87E9-D3EBB31B4B01}">
  <sheetPr>
    <tabColor rgb="FF92D050"/>
  </sheetPr>
  <dimension ref="B1:U17"/>
  <sheetViews>
    <sheetView showGridLines="0" workbookViewId="0">
      <selection activeCell="E5" sqref="E5"/>
    </sheetView>
  </sheetViews>
  <sheetFormatPr defaultRowHeight="15" x14ac:dyDescent="0.25"/>
  <cols>
    <col min="1" max="1" width="3" style="59" customWidth="1"/>
    <col min="2" max="4" width="12.5703125" style="59" customWidth="1"/>
    <col min="5" max="6" width="9.140625" style="59"/>
    <col min="7" max="7" width="4.5703125" style="59" customWidth="1"/>
    <col min="8" max="10" width="12.28515625" style="59" customWidth="1"/>
    <col min="11" max="12" width="9.140625" style="59"/>
    <col min="13" max="13" width="1.85546875" style="59" customWidth="1"/>
    <col min="14" max="16" width="9.140625" style="59"/>
    <col min="17" max="17" width="138.140625" style="59" customWidth="1"/>
    <col min="18" max="16384" width="9.140625" style="59"/>
  </cols>
  <sheetData>
    <row r="1" spans="2:21" ht="15.75" thickBot="1" x14ac:dyDescent="0.3"/>
    <row r="2" spans="2:21" ht="22.5" thickTop="1" thickBot="1" x14ac:dyDescent="0.3">
      <c r="B2" s="57" t="s">
        <v>342</v>
      </c>
      <c r="C2" s="345" t="s">
        <v>189</v>
      </c>
      <c r="D2" s="346"/>
      <c r="E2" s="346"/>
      <c r="F2" s="346"/>
      <c r="G2" s="346"/>
      <c r="H2" s="346"/>
      <c r="I2" s="346"/>
      <c r="J2" s="346"/>
      <c r="K2" s="346"/>
      <c r="L2" s="346"/>
      <c r="M2" s="346"/>
      <c r="N2" s="346"/>
      <c r="O2" s="346"/>
      <c r="P2" s="347"/>
      <c r="R2" s="254" t="s">
        <v>190</v>
      </c>
      <c r="S2" s="254"/>
      <c r="T2" s="254"/>
    </row>
    <row r="3" spans="2:21" ht="18.75" customHeight="1" thickTop="1" x14ac:dyDescent="0.3">
      <c r="B3" s="168"/>
      <c r="C3" s="168"/>
      <c r="D3" s="168"/>
      <c r="E3" s="168"/>
      <c r="F3" s="168"/>
      <c r="G3" s="168"/>
      <c r="H3" s="168"/>
      <c r="I3" s="168"/>
      <c r="J3" s="168"/>
      <c r="K3" s="168"/>
      <c r="L3" s="168"/>
      <c r="R3" s="59" t="s">
        <v>191</v>
      </c>
      <c r="S3" s="59" t="s">
        <v>192</v>
      </c>
      <c r="T3" s="59" t="s">
        <v>193</v>
      </c>
      <c r="U3" s="59" t="s">
        <v>194</v>
      </c>
    </row>
    <row r="4" spans="2:21" ht="18.75" customHeight="1" x14ac:dyDescent="0.3">
      <c r="B4" s="187" t="s">
        <v>195</v>
      </c>
      <c r="C4" s="188"/>
      <c r="D4" s="188"/>
      <c r="E4" s="24">
        <v>1</v>
      </c>
      <c r="F4" s="108"/>
      <c r="H4" s="337" t="s">
        <v>196</v>
      </c>
      <c r="I4" s="338"/>
      <c r="J4" s="338"/>
      <c r="K4" s="339">
        <f>'STEP 2 Detailed analysis'!AH19*100/E5</f>
        <v>14.285714285714286</v>
      </c>
      <c r="L4" s="343" t="s">
        <v>197</v>
      </c>
      <c r="N4" s="332" t="str" cm="1">
        <f t="array" ref="N4">_xlfn.IFS(K7&lt;S4,T4,K7&lt;S5,T5,K4&gt;R7,T7,K7&lt;S6,T6)</f>
        <v>Note: System capacity may be insufficient to support some crops in some climates. Consider reducing irrigated area or increasing capacity.</v>
      </c>
      <c r="O4" s="332"/>
      <c r="P4" s="332"/>
      <c r="R4" s="118">
        <v>0</v>
      </c>
      <c r="S4" s="118">
        <v>5</v>
      </c>
      <c r="T4" s="59" t="s">
        <v>198</v>
      </c>
      <c r="U4" s="59" t="s">
        <v>199</v>
      </c>
    </row>
    <row r="5" spans="2:21" x14ac:dyDescent="0.25">
      <c r="B5" s="177" t="s">
        <v>200</v>
      </c>
      <c r="C5" s="63"/>
      <c r="D5" s="63"/>
      <c r="E5" s="54">
        <v>14</v>
      </c>
      <c r="F5" s="110" t="s">
        <v>201</v>
      </c>
      <c r="H5" s="341" t="s">
        <v>202</v>
      </c>
      <c r="I5" s="342"/>
      <c r="J5" s="342"/>
      <c r="K5" s="340"/>
      <c r="L5" s="344"/>
      <c r="N5" s="332"/>
      <c r="O5" s="332"/>
      <c r="P5" s="332"/>
      <c r="R5" s="189">
        <f>S4</f>
        <v>5</v>
      </c>
      <c r="S5" s="118">
        <v>10</v>
      </c>
      <c r="T5" s="59" t="s">
        <v>203</v>
      </c>
      <c r="U5" s="59" t="s">
        <v>199</v>
      </c>
    </row>
    <row r="6" spans="2:21" x14ac:dyDescent="0.25">
      <c r="B6" s="177" t="s">
        <v>204</v>
      </c>
      <c r="C6" s="63"/>
      <c r="D6" s="63"/>
      <c r="E6" s="54">
        <v>50</v>
      </c>
      <c r="F6" s="110" t="s">
        <v>205</v>
      </c>
      <c r="K6" s="100"/>
      <c r="N6" s="332"/>
      <c r="O6" s="332"/>
      <c r="P6" s="332"/>
      <c r="R6" s="189">
        <f>S5</f>
        <v>10</v>
      </c>
      <c r="S6" s="118">
        <v>15</v>
      </c>
      <c r="T6" s="59" t="s">
        <v>206</v>
      </c>
      <c r="U6" s="59" t="s">
        <v>199</v>
      </c>
    </row>
    <row r="7" spans="2:21" x14ac:dyDescent="0.25">
      <c r="B7" s="190" t="s">
        <v>207</v>
      </c>
      <c r="C7" s="63"/>
      <c r="D7" s="63"/>
      <c r="E7" s="36">
        <v>75</v>
      </c>
      <c r="F7" s="110" t="s">
        <v>67</v>
      </c>
      <c r="H7" s="333" t="s">
        <v>208</v>
      </c>
      <c r="I7" s="334"/>
      <c r="J7" s="334"/>
      <c r="K7" s="339">
        <f>K4*K14*(E7/100)</f>
        <v>9.8181818181818183</v>
      </c>
      <c r="L7" s="343" t="s">
        <v>197</v>
      </c>
      <c r="N7" s="332"/>
      <c r="O7" s="332"/>
      <c r="P7" s="332"/>
      <c r="R7" s="189">
        <v>20</v>
      </c>
      <c r="S7" s="118">
        <v>100</v>
      </c>
      <c r="T7" s="59" t="s">
        <v>209</v>
      </c>
      <c r="U7" s="59" t="s">
        <v>210</v>
      </c>
    </row>
    <row r="8" spans="2:21" ht="15" customHeight="1" x14ac:dyDescent="0.25">
      <c r="B8" s="177" t="s">
        <v>211</v>
      </c>
      <c r="C8" s="63"/>
      <c r="D8" s="63"/>
      <c r="E8" s="54">
        <v>2</v>
      </c>
      <c r="F8" s="110"/>
      <c r="H8" s="335"/>
      <c r="I8" s="336"/>
      <c r="J8" s="336"/>
      <c r="K8" s="340"/>
      <c r="L8" s="344"/>
      <c r="N8" s="332"/>
      <c r="O8" s="332"/>
      <c r="P8" s="332"/>
    </row>
    <row r="9" spans="2:21" x14ac:dyDescent="0.25">
      <c r="B9" s="190" t="s">
        <v>212</v>
      </c>
      <c r="C9" s="191"/>
      <c r="D9" s="191"/>
      <c r="E9" s="30">
        <v>2</v>
      </c>
      <c r="F9" s="192" t="s">
        <v>213</v>
      </c>
    </row>
    <row r="10" spans="2:21" x14ac:dyDescent="0.25">
      <c r="B10" s="193" t="s">
        <v>214</v>
      </c>
      <c r="C10" s="194"/>
      <c r="D10" s="194"/>
      <c r="E10" s="31">
        <v>1</v>
      </c>
      <c r="F10" s="195" t="s">
        <v>215</v>
      </c>
      <c r="H10" s="187" t="s">
        <v>216</v>
      </c>
      <c r="I10" s="188"/>
      <c r="J10" s="188"/>
      <c r="K10" s="196">
        <f>(((E5/E8)*(E6/100))/'STEP 2 Detailed analysis'!AH19)*24</f>
        <v>42</v>
      </c>
      <c r="L10" s="197" t="s">
        <v>213</v>
      </c>
    </row>
    <row r="11" spans="2:21" x14ac:dyDescent="0.25">
      <c r="H11" s="177" t="s">
        <v>217</v>
      </c>
      <c r="I11" s="63"/>
      <c r="J11" s="63"/>
      <c r="K11" s="134">
        <f>(E8*K10)/E4/24</f>
        <v>3.5</v>
      </c>
      <c r="L11" s="192" t="s">
        <v>218</v>
      </c>
    </row>
    <row r="12" spans="2:21" x14ac:dyDescent="0.25">
      <c r="H12" s="190" t="s">
        <v>219</v>
      </c>
      <c r="I12" s="191"/>
      <c r="J12" s="191"/>
      <c r="K12" s="198">
        <f>E8*E9</f>
        <v>4</v>
      </c>
      <c r="L12" s="192" t="s">
        <v>213</v>
      </c>
    </row>
    <row r="13" spans="2:21" x14ac:dyDescent="0.25">
      <c r="H13" s="190" t="s">
        <v>220</v>
      </c>
      <c r="I13" s="191"/>
      <c r="J13" s="191"/>
      <c r="K13" s="134">
        <f>K11+(K12/24)</f>
        <v>3.6666666666666665</v>
      </c>
      <c r="L13" s="192" t="s">
        <v>218</v>
      </c>
    </row>
    <row r="14" spans="2:21" x14ac:dyDescent="0.25">
      <c r="H14" s="193" t="s">
        <v>221</v>
      </c>
      <c r="I14" s="194"/>
      <c r="J14" s="194"/>
      <c r="K14" s="199">
        <f>K11/(K13+(K13/24*E10))</f>
        <v>0.91636363636363638</v>
      </c>
      <c r="L14" s="111"/>
    </row>
    <row r="16" spans="2:21" x14ac:dyDescent="0.25">
      <c r="B16" s="142"/>
      <c r="C16" s="62"/>
    </row>
    <row r="17" spans="2:3" x14ac:dyDescent="0.25">
      <c r="B17" s="142"/>
      <c r="C17" s="62"/>
    </row>
  </sheetData>
  <sheetProtection algorithmName="SHA-512" hashValue="TeXC+H0/79zHmbMFOvaqmAkgubIUU/UtoRwVRD4wgD/QC5OJBK0LbyGU57ZHVOLC5lErRORFq03qmnerONuXQA==" saltValue="HtNVVg6CT7mcfhh2bp3MKw==" spinCount="100000" sheet="1" selectLockedCells="1"/>
  <mergeCells count="10">
    <mergeCell ref="N4:P8"/>
    <mergeCell ref="R2:T2"/>
    <mergeCell ref="H7:J8"/>
    <mergeCell ref="H4:J4"/>
    <mergeCell ref="K4:K5"/>
    <mergeCell ref="K7:K8"/>
    <mergeCell ref="H5:J5"/>
    <mergeCell ref="L4:L5"/>
    <mergeCell ref="L7:L8"/>
    <mergeCell ref="C2:P2"/>
  </mergeCells>
  <conditionalFormatting sqref="N4:P8">
    <cfRule type="expression" dxfId="20" priority="81">
      <formula>AND($K$4&gt;=$R$7,$K$4&lt;$S$7)</formula>
    </cfRule>
    <cfRule type="expression" dxfId="19" priority="82">
      <formula>AND($K$7&gt;=$R$6,$K$7&lt;$S$6)</formula>
    </cfRule>
    <cfRule type="expression" dxfId="18" priority="83">
      <formula>AND($K$7&gt;=$R$5,$K$7&lt;$S$5)</formula>
    </cfRule>
    <cfRule type="expression" dxfId="17" priority="84">
      <formula>AND($K$7&gt;=$R$4,$K$7&lt;$S$4)</formula>
    </cfRule>
  </conditionalFormatting>
  <pageMargins left="0.7" right="0.7" top="0.75" bottom="0.75" header="0.3" footer="0.3"/>
  <pageSetup paperSize="9" orientation="portrait" horizontalDpi="90" verticalDpi="90" r:id="rId1"/>
  <headerFooter>
    <oddHeader>&amp;C&amp;"Calibri"&amp;12&amp;K000000UNOFFICIAL&amp;1#</oddHeader>
    <oddFooter>&amp;C&amp;1#&amp;"Calibri"&amp;12&amp;K000000UNOFFICIAL</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4983E-19E2-4510-BDBB-5638D6AB0346}">
  <sheetPr>
    <tabColor rgb="FF92D050"/>
    <pageSetUpPr fitToPage="1"/>
  </sheetPr>
  <dimension ref="A1:X37"/>
  <sheetViews>
    <sheetView showGridLines="0" workbookViewId="0"/>
  </sheetViews>
  <sheetFormatPr defaultColWidth="8.85546875" defaultRowHeight="15" x14ac:dyDescent="0.25"/>
  <cols>
    <col min="1" max="1" width="1.5703125" style="59" customWidth="1"/>
    <col min="2" max="2" width="19" style="59" bestFit="1" customWidth="1"/>
    <col min="3" max="3" width="8.42578125" style="59" customWidth="1"/>
    <col min="4" max="4" width="10.5703125" style="59" customWidth="1"/>
    <col min="5" max="5" width="2.7109375" style="59" customWidth="1"/>
    <col min="6" max="6" width="8.140625" style="59" bestFit="1" customWidth="1"/>
    <col min="7" max="7" width="7.28515625" style="59" customWidth="1"/>
    <col min="8" max="8" width="10.42578125" style="59" customWidth="1"/>
    <col min="9" max="9" width="11.28515625" style="59" customWidth="1"/>
    <col min="10" max="10" width="7.7109375" style="59" customWidth="1"/>
    <col min="11" max="11" width="1.85546875" style="59" customWidth="1"/>
    <col min="12" max="12" width="8.42578125" style="59" customWidth="1"/>
    <col min="13" max="13" width="10.7109375" style="59" customWidth="1"/>
    <col min="14" max="14" width="6.7109375" style="59" customWidth="1"/>
    <col min="15" max="15" width="11.5703125" style="59" customWidth="1"/>
    <col min="16" max="16" width="9" style="59" customWidth="1"/>
    <col min="17" max="17" width="8.140625" style="59" bestFit="1" customWidth="1"/>
    <col min="18" max="18" width="9.85546875" style="59" bestFit="1" customWidth="1"/>
    <col min="19" max="19" width="3.7109375" style="59" customWidth="1"/>
    <col min="20" max="20" width="8.85546875" style="59"/>
    <col min="21" max="21" width="9.85546875" style="59" bestFit="1" customWidth="1"/>
    <col min="22" max="22" width="4.7109375" style="59" customWidth="1"/>
    <col min="23" max="23" width="10.140625" style="59" customWidth="1"/>
    <col min="24" max="24" width="6.140625" style="59" bestFit="1" customWidth="1"/>
    <col min="25" max="16384" width="8.85546875" style="59"/>
  </cols>
  <sheetData>
    <row r="1" spans="2:24" ht="4.1500000000000004" customHeight="1" x14ac:dyDescent="0.25">
      <c r="B1" s="78"/>
      <c r="C1" s="78"/>
      <c r="D1" s="78"/>
      <c r="E1" s="78"/>
      <c r="F1" s="78"/>
      <c r="G1" s="78"/>
      <c r="H1" s="78"/>
      <c r="I1" s="78"/>
      <c r="J1" s="78"/>
      <c r="K1" s="78"/>
      <c r="L1" s="78"/>
      <c r="M1" s="78"/>
      <c r="N1" s="78"/>
      <c r="O1" s="78"/>
      <c r="P1" s="78"/>
      <c r="Q1" s="78"/>
      <c r="R1" s="78"/>
      <c r="S1" s="78"/>
      <c r="T1" s="78"/>
      <c r="U1" s="78"/>
      <c r="V1" s="78"/>
      <c r="W1" s="78"/>
      <c r="X1" s="78"/>
    </row>
    <row r="2" spans="2:24" ht="21" x14ac:dyDescent="0.25">
      <c r="B2" s="80" t="s">
        <v>345</v>
      </c>
      <c r="C2" s="345" t="s">
        <v>339</v>
      </c>
      <c r="D2" s="346"/>
      <c r="E2" s="346"/>
      <c r="F2" s="346"/>
      <c r="G2" s="346"/>
      <c r="H2" s="346"/>
      <c r="I2" s="346"/>
      <c r="J2" s="346"/>
      <c r="K2" s="346"/>
      <c r="L2" s="346"/>
      <c r="M2" s="346"/>
      <c r="N2" s="346"/>
      <c r="O2" s="346"/>
      <c r="P2" s="346"/>
      <c r="Q2" s="346"/>
      <c r="R2" s="346"/>
      <c r="S2" s="346"/>
      <c r="T2" s="346"/>
      <c r="U2" s="346"/>
      <c r="V2" s="346"/>
      <c r="W2" s="346"/>
      <c r="X2" s="347"/>
    </row>
    <row r="3" spans="2:24" x14ac:dyDescent="0.25">
      <c r="P3" s="200"/>
      <c r="Q3" s="200"/>
      <c r="R3" s="200"/>
    </row>
    <row r="4" spans="2:24" ht="15.75" customHeight="1" x14ac:dyDescent="0.25">
      <c r="B4" s="201" t="s">
        <v>325</v>
      </c>
      <c r="C4" s="202"/>
      <c r="D4" s="203"/>
      <c r="E4" s="204"/>
      <c r="F4" s="276" t="str">
        <f>'STEP 2 Detailed analysis'!G6</f>
        <v>Suction lift</v>
      </c>
      <c r="G4" s="277"/>
      <c r="I4" s="276" t="str">
        <f>'STEP 2 Detailed analysis'!J6</f>
        <v>Delivery line pressure</v>
      </c>
      <c r="J4" s="277"/>
      <c r="L4" s="276" t="str">
        <f>'STEP 2 Detailed analysis'!M6</f>
        <v>Lift - pump to hydrant</v>
      </c>
      <c r="M4" s="277"/>
      <c r="O4" s="276" t="str">
        <f>'STEP 2 Detailed analysis'!P6</f>
        <v>Pressure at hydrant</v>
      </c>
      <c r="P4" s="277"/>
      <c r="R4" s="276" t="str">
        <f>'STEP 2 Detailed analysis'!S6</f>
        <v>Lift - pump to gun</v>
      </c>
      <c r="S4" s="277"/>
      <c r="V4" s="290" t="str">
        <f>'STEP 2 Detailed analysis'!W6</f>
        <v>Pressure at gun</v>
      </c>
      <c r="W4" s="291"/>
      <c r="X4" s="292"/>
    </row>
    <row r="5" spans="2:24" ht="15" customHeight="1" x14ac:dyDescent="0.25">
      <c r="B5" s="187" t="s">
        <v>324</v>
      </c>
      <c r="C5" s="205">
        <f>'STEP 2 Detailed analysis'!AH19</f>
        <v>2</v>
      </c>
      <c r="D5" s="124" t="str">
        <f>'STEP 2 Detailed analysis'!E20</f>
        <v>ML/day</v>
      </c>
      <c r="F5" s="278"/>
      <c r="G5" s="279"/>
      <c r="I5" s="278"/>
      <c r="J5" s="279"/>
      <c r="L5" s="278"/>
      <c r="M5" s="279"/>
      <c r="O5" s="314"/>
      <c r="P5" s="315"/>
      <c r="R5" s="278"/>
      <c r="S5" s="279"/>
      <c r="V5" s="348">
        <f>'STEP 2 Detailed analysis'!W8</f>
        <v>42</v>
      </c>
      <c r="W5" s="349"/>
      <c r="X5" s="110" t="str">
        <f>'STEP 2 Detailed analysis'!Y8</f>
        <v>m</v>
      </c>
    </row>
    <row r="6" spans="2:24" x14ac:dyDescent="0.25">
      <c r="B6" s="177" t="s">
        <v>326</v>
      </c>
      <c r="C6" s="206">
        <f>'STEP 2 Detailed analysis'!AF16</f>
        <v>0.25</v>
      </c>
      <c r="D6" s="110" t="str">
        <f>'STEP 2 Detailed analysis'!E13</f>
        <v>$/kWh</v>
      </c>
      <c r="F6" s="207">
        <f>'STEP 2 Detailed analysis'!G8</f>
        <v>0</v>
      </c>
      <c r="G6" s="111" t="str">
        <f>'STEP 2 Detailed analysis'!H8</f>
        <v>m</v>
      </c>
      <c r="I6" s="207">
        <f>'STEP 2 Detailed analysis'!J8</f>
        <v>60</v>
      </c>
      <c r="J6" s="136" t="str">
        <f>'STEP 2 Detailed analysis'!K8</f>
        <v>m</v>
      </c>
      <c r="L6" s="207">
        <f>'STEP 2 Detailed analysis'!M8</f>
        <v>0</v>
      </c>
      <c r="M6" s="111" t="str">
        <f>'STEP 2 Detailed analysis'!N8</f>
        <v>m</v>
      </c>
      <c r="O6" s="207">
        <f>IF('STEP 2 Detailed analysis'!P8&gt;0,'STEP 2 Detailed analysis'!P8,"Unknown")</f>
        <v>50</v>
      </c>
      <c r="P6" s="136" t="str">
        <f>'STEP 2 Detailed analysis'!Q8</f>
        <v>m</v>
      </c>
      <c r="R6" s="207">
        <f>'STEP 2 Detailed analysis'!S8</f>
        <v>0</v>
      </c>
      <c r="S6" s="111" t="str">
        <f>'STEP 2 Detailed analysis'!T8</f>
        <v>m</v>
      </c>
      <c r="V6" s="298" t="str">
        <f>'STEP 2 Detailed analysis'!W9</f>
        <v>Gun operating range: 28.1 to 77.4 m</v>
      </c>
      <c r="W6" s="299"/>
      <c r="X6" s="300"/>
    </row>
    <row r="7" spans="2:24" ht="15.75" customHeight="1" x14ac:dyDescent="0.25">
      <c r="B7" s="177" t="s">
        <v>2</v>
      </c>
      <c r="C7" s="206">
        <f>'STEP 2 Detailed analysis'!AH18</f>
        <v>400</v>
      </c>
      <c r="D7" s="110" t="str">
        <f>'STEP 2 Detailed analysis'!E22</f>
        <v>ML/year</v>
      </c>
      <c r="V7" s="298"/>
      <c r="W7" s="299"/>
      <c r="X7" s="300"/>
    </row>
    <row r="8" spans="2:24" x14ac:dyDescent="0.25">
      <c r="B8" s="177" t="str">
        <f>'STEP 2 Detailed analysis'!B11</f>
        <v>Energy load</v>
      </c>
      <c r="C8" s="206">
        <f>'STEP 2 Detailed analysis'!D11</f>
        <v>25.290000000000056</v>
      </c>
      <c r="D8" s="110" t="str">
        <f>'STEP 2 Detailed analysis'!E11</f>
        <v>kW</v>
      </c>
      <c r="V8" s="301"/>
      <c r="W8" s="302"/>
      <c r="X8" s="303"/>
    </row>
    <row r="9" spans="2:24" ht="15" customHeight="1" x14ac:dyDescent="0.25">
      <c r="B9" s="177" t="str">
        <f>'STEP 2 Detailed analysis'!B25</f>
        <v>Motor size</v>
      </c>
      <c r="C9" s="206">
        <f>'STEP 2 Detailed analysis'!D25</f>
        <v>42</v>
      </c>
      <c r="D9" s="129" t="str">
        <f>'STEP 2 Detailed analysis'!E25</f>
        <v>kW</v>
      </c>
    </row>
    <row r="10" spans="2:24" x14ac:dyDescent="0.25">
      <c r="B10" s="208" t="str">
        <f>'STEP 2 Detailed analysis'!B26</f>
        <v xml:space="preserve">Motor efficiency </v>
      </c>
      <c r="C10" s="206">
        <f>'STEP 2 Detailed analysis'!$AF$24</f>
        <v>93.6</v>
      </c>
      <c r="D10" s="144" t="str">
        <f>'STEP 2 Detailed analysis'!E26</f>
        <v>%</v>
      </c>
      <c r="E10" s="204"/>
      <c r="U10" s="122" t="str">
        <f>'STEP 2 Detailed analysis'!V14</f>
        <v>Gun type</v>
      </c>
      <c r="V10" s="123"/>
      <c r="W10" s="205" t="str">
        <f>'STEP 2 Detailed analysis'!X14</f>
        <v>SR100</v>
      </c>
      <c r="X10" s="124" t="str">
        <f>'STEP 2 Detailed analysis'!Y14</f>
        <v>24°</v>
      </c>
    </row>
    <row r="11" spans="2:24" x14ac:dyDescent="0.25">
      <c r="B11" s="180" t="str">
        <f>'STEP 2 Detailed analysis'!B28</f>
        <v>Motor load</v>
      </c>
      <c r="C11" s="43">
        <f>'STEP 2 Detailed analysis'!D28</f>
        <v>56.360571428571546</v>
      </c>
      <c r="D11" s="136" t="str">
        <f>'STEP 2 Detailed analysis'!E28</f>
        <v>%</v>
      </c>
      <c r="U11" s="270" t="str">
        <f>'STEP 2 Detailed analysis'!V15</f>
        <v>Nozzle size</v>
      </c>
      <c r="V11" s="271"/>
      <c r="W11" s="206">
        <f>'STEP 2 Detailed analysis'!X15</f>
        <v>1</v>
      </c>
      <c r="X11" s="129" t="str">
        <f>'STEP 2 Detailed analysis'!Y15</f>
        <v>inches</v>
      </c>
    </row>
    <row r="12" spans="2:24" x14ac:dyDescent="0.25">
      <c r="U12" s="127" t="str">
        <f>'STEP 2 Detailed analysis'!V16</f>
        <v>Hydrant spacing</v>
      </c>
      <c r="V12" s="128"/>
      <c r="W12" s="206">
        <f>'STEP 2 Detailed analysis'!X16</f>
        <v>78</v>
      </c>
      <c r="X12" s="129" t="str">
        <f>'STEP 2 Detailed analysis'!Y16</f>
        <v>m</v>
      </c>
    </row>
    <row r="13" spans="2:24" ht="15.75" x14ac:dyDescent="0.25">
      <c r="B13" s="209" t="str">
        <f>'STEP 2 Detailed analysis'!BA44</f>
        <v>Pump duty point</v>
      </c>
      <c r="C13" s="210"/>
      <c r="D13" s="211"/>
      <c r="U13" s="127" t="str">
        <f>'STEP 2 Detailed analysis'!V17</f>
        <v>Target overlap</v>
      </c>
      <c r="V13" s="128"/>
      <c r="W13" s="206">
        <f>'STEP 2 Detailed analysis'!X17</f>
        <v>25</v>
      </c>
      <c r="X13" s="129" t="str">
        <f>'STEP 2 Detailed analysis'!Y17</f>
        <v>%</v>
      </c>
    </row>
    <row r="14" spans="2:24" ht="15" customHeight="1" x14ac:dyDescent="0.25">
      <c r="B14" s="177" t="str">
        <f>'STEP 2 Detailed analysis'!BA45</f>
        <v>Pressure</v>
      </c>
      <c r="C14" s="134">
        <f>'STEP 2 Detailed analysis'!BB45</f>
        <v>60</v>
      </c>
      <c r="D14" s="110" t="str">
        <f>'STEP 2 Detailed analysis'!BC45</f>
        <v>m</v>
      </c>
      <c r="U14" s="270" t="str">
        <f>'STEP 2 Detailed analysis'!V18</f>
        <v>Ideal throw</v>
      </c>
      <c r="V14" s="271"/>
      <c r="W14" s="206">
        <f>'STEP 2 Detailed analysis'!X18</f>
        <v>97.5</v>
      </c>
      <c r="X14" s="129" t="str">
        <f>'STEP 2 Detailed analysis'!Y18</f>
        <v>m</v>
      </c>
    </row>
    <row r="15" spans="2:24" ht="15" customHeight="1" x14ac:dyDescent="0.25">
      <c r="B15" s="177" t="str">
        <f>'STEP 2 Detailed analysis'!BA46</f>
        <v>Flow</v>
      </c>
      <c r="C15" s="134">
        <f>'STEP 2 Detailed analysis'!BB46</f>
        <v>83.333333333333329</v>
      </c>
      <c r="D15" s="110" t="str">
        <f>'STEP 2 Detailed analysis'!BC46</f>
        <v>m3/hr</v>
      </c>
      <c r="U15" s="263" t="str">
        <f>'STEP 2 Detailed analysis'!V19</f>
        <v>Estimated throw</v>
      </c>
      <c r="V15" s="264"/>
      <c r="W15" s="212">
        <f>'STEP 2 Detailed analysis'!X19</f>
        <v>97.427598701313997</v>
      </c>
      <c r="X15" s="136" t="str">
        <f>'STEP 2 Detailed analysis'!Y19</f>
        <v>m</v>
      </c>
    </row>
    <row r="16" spans="2:24" ht="15" customHeight="1" x14ac:dyDescent="0.25">
      <c r="B16" s="180" t="str">
        <f>'STEP 2 Detailed analysis'!BA47</f>
        <v>Power</v>
      </c>
      <c r="C16" s="135">
        <f>'STEP 2 Detailed analysis'!BB47</f>
        <v>23.67144000000005</v>
      </c>
      <c r="D16" s="111" t="str">
        <f>'STEP 2 Detailed analysis'!BC47</f>
        <v>kW</v>
      </c>
      <c r="M16" s="290" t="str">
        <f>'STEP 2 Detailed analysis'!N21</f>
        <v>Mainline length (pump to hydrant)</v>
      </c>
      <c r="N16" s="292"/>
      <c r="Q16" s="290" t="str">
        <f>'STEP 2 Detailed analysis'!R21</f>
        <v>Irrigator hose length</v>
      </c>
      <c r="R16" s="292"/>
    </row>
    <row r="17" spans="1:24" ht="14.45" customHeight="1" x14ac:dyDescent="0.25">
      <c r="B17" s="180" t="s">
        <v>327</v>
      </c>
      <c r="C17" s="135">
        <f>'STEP 2 Detailed analysis'!AK11</f>
        <v>303.4800000000007</v>
      </c>
      <c r="D17" s="111" t="str">
        <f>IF('STEP 2 Detailed analysis'!E6='STEP 2 Detailed analysis'!BA18,'STEP 2 Detailed analysis'!BA24,'STEP 2 Detailed analysis'!BB24)</f>
        <v>kWh/ML</v>
      </c>
      <c r="M17" s="306"/>
      <c r="N17" s="307"/>
      <c r="Q17" s="306"/>
      <c r="R17" s="307"/>
    </row>
    <row r="18" spans="1:24" x14ac:dyDescent="0.25">
      <c r="E18" s="79"/>
      <c r="M18" s="207">
        <f>'STEP 2 Detailed analysis'!N23</f>
        <v>100</v>
      </c>
      <c r="N18" s="111" t="str">
        <f>'STEP 2 Detailed analysis'!O23</f>
        <v>m</v>
      </c>
      <c r="Q18" s="207">
        <f>'STEP 2 Detailed analysis'!R23</f>
        <v>100</v>
      </c>
      <c r="R18" s="111" t="str">
        <f>'STEP 2 Detailed analysis'!S23</f>
        <v>m</v>
      </c>
    </row>
    <row r="19" spans="1:24" ht="15" customHeight="1" x14ac:dyDescent="0.25">
      <c r="B19" s="350" t="str">
        <f>'STEP 2 Detailed analysis'!G23</f>
        <v>Motor is running at &gt;50% load. Motor efficiency should be close to rating.</v>
      </c>
      <c r="C19" s="350"/>
      <c r="D19" s="350"/>
      <c r="U19" s="213"/>
      <c r="V19" s="213"/>
      <c r="W19" s="213"/>
      <c r="X19" s="213"/>
    </row>
    <row r="20" spans="1:24" ht="14.45" customHeight="1" x14ac:dyDescent="0.3">
      <c r="B20" s="350"/>
      <c r="C20" s="350"/>
      <c r="D20" s="350"/>
      <c r="F20" s="360" t="str">
        <f>'STEP 2 Detailed analysis'!G29</f>
        <v>Pump efficiency</v>
      </c>
      <c r="G20" s="354"/>
      <c r="H20" s="354"/>
      <c r="I20" s="354" t="str">
        <f>'STEP 2 Detailed analysis'!J29</f>
        <v>Pumping costs</v>
      </c>
      <c r="J20" s="354"/>
      <c r="K20" s="355"/>
      <c r="M20" s="360" t="str">
        <f>'STEP 2 Detailed analysis'!N29</f>
        <v>Head loss</v>
      </c>
      <c r="N20" s="354"/>
      <c r="O20" s="214" t="str">
        <f>'STEP 2 Detailed analysis'!P29</f>
        <v>Mainline</v>
      </c>
      <c r="P20" s="215" t="str">
        <f>'STEP 2 Detailed analysis'!Q29</f>
        <v>Irrigator hose</v>
      </c>
      <c r="Q20" s="214"/>
      <c r="R20" s="154"/>
      <c r="T20" s="317" t="str">
        <f>'STEP 2 Detailed analysis'!U29</f>
        <v>Gun pressure</v>
      </c>
      <c r="U20" s="318"/>
      <c r="V20" s="318"/>
      <c r="W20" s="318"/>
      <c r="X20" s="327"/>
    </row>
    <row r="21" spans="1:24" ht="15.75" x14ac:dyDescent="0.25">
      <c r="B21" s="350"/>
      <c r="C21" s="350"/>
      <c r="D21" s="350"/>
      <c r="F21" s="155" t="str">
        <f>'STEP 2 Detailed analysis'!G30</f>
        <v>Current</v>
      </c>
      <c r="G21" s="44">
        <f>'STEP 2 Detailed analysis'!H30</f>
        <v>0.57524446257412776</v>
      </c>
      <c r="H21" s="63" t="str">
        <f>'STEP 2 Detailed analysis'!I30</f>
        <v>Poor</v>
      </c>
      <c r="I21" s="45">
        <f>'STEP 2 Detailed analysis'!J30</f>
        <v>75.870000000000175</v>
      </c>
      <c r="J21" s="356" t="str">
        <f>'STEP 2 Detailed analysis'!K30</f>
        <v>/ML</v>
      </c>
      <c r="K21" s="357"/>
      <c r="L21" s="157"/>
      <c r="M21" s="319" t="str">
        <f>'STEP 2 Detailed analysis'!N30</f>
        <v>Current</v>
      </c>
      <c r="N21" s="320"/>
      <c r="O21" s="158">
        <f>'STEP 2 Detailed analysis'!P30</f>
        <v>10</v>
      </c>
      <c r="P21" s="330">
        <f>'STEP 2 Detailed analysis'!Q30</f>
        <v>8</v>
      </c>
      <c r="Q21" s="330"/>
      <c r="R21" s="156" t="str">
        <f>'STEP 2 Detailed analysis'!S30</f>
        <v>m/100 m</v>
      </c>
      <c r="T21" s="319" t="str">
        <f>'STEP 2 Detailed analysis'!U30</f>
        <v>Current</v>
      </c>
      <c r="U21" s="320"/>
      <c r="V21" s="320"/>
      <c r="W21" s="158">
        <f>'STEP 2 Detailed analysis'!X30</f>
        <v>42</v>
      </c>
      <c r="X21" s="156" t="str">
        <f>'STEP 2 Detailed analysis'!Y30</f>
        <v>m</v>
      </c>
    </row>
    <row r="22" spans="1:24" ht="14.45" customHeight="1" x14ac:dyDescent="0.25">
      <c r="B22" s="361" t="str">
        <f>'STEP 2 Detailed analysis'!V21</f>
        <v>Great!! Gun pressure OK for hydrant spacings with 25% overlap</v>
      </c>
      <c r="C22" s="361"/>
      <c r="D22" s="361"/>
      <c r="F22" s="159" t="str">
        <f>'STEP 2 Detailed analysis'!G31</f>
        <v xml:space="preserve">Target </v>
      </c>
      <c r="G22" s="46">
        <f>'STEP 2 Detailed analysis'!H31*100</f>
        <v>90</v>
      </c>
      <c r="H22" s="160" t="s">
        <v>67</v>
      </c>
      <c r="I22" s="47">
        <f>'STEP 2 Detailed analysis'!J31</f>
        <v>56.871950273231818</v>
      </c>
      <c r="J22" s="356" t="str">
        <f>'STEP 2 Detailed analysis'!K31</f>
        <v>/ML</v>
      </c>
      <c r="K22" s="357"/>
      <c r="L22" s="157"/>
      <c r="M22" s="319" t="str">
        <f>'STEP 2 Detailed analysis'!N31</f>
        <v>Target</v>
      </c>
      <c r="N22" s="320"/>
      <c r="O22" s="158">
        <f>'STEP 2 Detailed analysis'!P31</f>
        <v>1</v>
      </c>
      <c r="P22" s="330">
        <f>'STEP 2 Detailed analysis'!Q31</f>
        <v>5</v>
      </c>
      <c r="Q22" s="330"/>
      <c r="R22" s="160" t="str">
        <f>'STEP 2 Detailed analysis'!S31</f>
        <v xml:space="preserve">m/100 m </v>
      </c>
      <c r="S22" s="216"/>
      <c r="T22" s="320" t="str">
        <f>'STEP 2 Detailed analysis'!U31</f>
        <v>Target pressure</v>
      </c>
      <c r="U22" s="320"/>
      <c r="V22" s="320"/>
      <c r="W22" s="161">
        <f>'STEP 2 Detailed analysis'!X31</f>
        <v>42.082739170059945</v>
      </c>
      <c r="X22" s="156" t="str">
        <f>'STEP 2 Detailed analysis'!Y31</f>
        <v>m</v>
      </c>
    </row>
    <row r="23" spans="1:24" ht="15.6" customHeight="1" x14ac:dyDescent="0.25">
      <c r="B23" s="361"/>
      <c r="C23" s="361"/>
      <c r="D23" s="361"/>
      <c r="F23" s="162" t="str">
        <f>'STEP 2 Detailed analysis'!G32</f>
        <v>Saving</v>
      </c>
      <c r="G23" s="163"/>
      <c r="H23" s="163"/>
      <c r="I23" s="164">
        <f>'STEP 2 Detailed analysis'!J32</f>
        <v>4353.7053050461891</v>
      </c>
      <c r="J23" s="358" t="str">
        <f>'STEP 2 Detailed analysis'!K32</f>
        <v>/year</v>
      </c>
      <c r="K23" s="359"/>
      <c r="L23" s="157"/>
      <c r="M23" s="325" t="str">
        <f>'STEP 2 Detailed analysis'!N32</f>
        <v>Saving</v>
      </c>
      <c r="N23" s="326"/>
      <c r="O23" s="166">
        <f>'STEP 2 Detailed analysis'!P32</f>
        <v>2451.0356999999999</v>
      </c>
      <c r="P23" s="316">
        <f>'STEP 2 Detailed analysis'!Q32</f>
        <v>817.01189999999997</v>
      </c>
      <c r="Q23" s="316"/>
      <c r="R23" s="165" t="str">
        <f>'STEP 2 Detailed analysis'!S32</f>
        <v>/year</v>
      </c>
      <c r="T23" s="325" t="str">
        <f>'STEP 2 Detailed analysis'!U32</f>
        <v>COST to correct^</v>
      </c>
      <c r="U23" s="326"/>
      <c r="V23" s="326"/>
      <c r="W23" s="167">
        <f>'STEP 2 Detailed analysis'!X32</f>
        <v>-22.532961816226816</v>
      </c>
      <c r="X23" s="165" t="str">
        <f>'STEP 2 Detailed analysis'!Y32</f>
        <v>/year</v>
      </c>
    </row>
    <row r="24" spans="1:24" ht="15.6" customHeight="1" x14ac:dyDescent="0.25">
      <c r="B24" s="361"/>
      <c r="C24" s="361"/>
      <c r="D24" s="361"/>
    </row>
    <row r="25" spans="1:24" ht="15" customHeight="1" x14ac:dyDescent="0.25">
      <c r="B25" s="351" t="str">
        <f>'STEP 2 Detailed analysis'!V11</f>
        <v>Warning!! Gun pressure outside range! Estimated throw distance may be inaccurate.</v>
      </c>
      <c r="C25" s="351"/>
      <c r="D25" s="351"/>
    </row>
    <row r="26" spans="1:24" x14ac:dyDescent="0.25">
      <c r="B26" s="351"/>
      <c r="C26" s="351"/>
      <c r="D26" s="351"/>
    </row>
    <row r="27" spans="1:24" ht="21" x14ac:dyDescent="0.35">
      <c r="B27" s="351"/>
      <c r="C27" s="351"/>
      <c r="D27" s="351"/>
      <c r="F27" s="352" t="str">
        <f>'STEP 2 Detailed analysis'!K36</f>
        <v>Total potential savings</v>
      </c>
      <c r="G27" s="353"/>
      <c r="H27" s="353"/>
      <c r="I27" s="353"/>
      <c r="J27" s="353"/>
      <c r="K27" s="353"/>
      <c r="L27" s="353"/>
      <c r="M27" s="353"/>
      <c r="N27" s="353"/>
      <c r="O27" s="329">
        <f>'STEP 2 Detailed analysis'!P36</f>
        <v>7599.2199432299622</v>
      </c>
      <c r="P27" s="329"/>
      <c r="Q27" s="171" t="str">
        <f>'STEP 2 Detailed analysis'!R36</f>
        <v>/year</v>
      </c>
      <c r="R27" s="171"/>
      <c r="S27" s="171"/>
      <c r="T27" s="171"/>
      <c r="U27" s="171"/>
      <c r="V27" s="171"/>
      <c r="W27" s="171"/>
      <c r="X27" s="173"/>
    </row>
    <row r="28" spans="1:24" ht="15.6" customHeight="1" x14ac:dyDescent="0.25">
      <c r="B28" s="350" t="str">
        <f>'STEP 2 Detailed analysis'!U24</f>
        <v>^Note: Total potential savings are reduced because pressure at the gun should be increased to improve uniformity.</v>
      </c>
      <c r="C28" s="350"/>
      <c r="D28" s="350"/>
    </row>
    <row r="29" spans="1:24" x14ac:dyDescent="0.25">
      <c r="B29" s="350"/>
      <c r="C29" s="350"/>
      <c r="D29" s="350"/>
    </row>
    <row r="30" spans="1:24" ht="15.6" customHeight="1" x14ac:dyDescent="0.25">
      <c r="B30" s="350"/>
      <c r="C30" s="350"/>
      <c r="D30" s="350"/>
    </row>
    <row r="31" spans="1:24" ht="18.75" x14ac:dyDescent="0.3">
      <c r="A31" s="168"/>
      <c r="B31" s="350"/>
      <c r="C31" s="350"/>
      <c r="D31" s="350"/>
    </row>
    <row r="32" spans="1:24" ht="14.45" customHeight="1" x14ac:dyDescent="0.25">
      <c r="B32" s="351" t="str">
        <f>'STEP 2 Detailed analysis'!N25</f>
        <v>*Warning!! Current head loss is an average from the pump to the gun!
Pressure loss is typically higher in the irrigator hose than the mainline.
Measure pressure at the hydrant to identify section(s) for improvement.</v>
      </c>
      <c r="C32" s="351"/>
      <c r="D32" s="351"/>
    </row>
    <row r="33" spans="2:4" x14ac:dyDescent="0.25">
      <c r="B33" s="351"/>
      <c r="C33" s="351"/>
      <c r="D33" s="351"/>
    </row>
    <row r="34" spans="2:4" ht="21" customHeight="1" x14ac:dyDescent="0.25">
      <c r="B34" s="351"/>
      <c r="C34" s="351"/>
      <c r="D34" s="351"/>
    </row>
    <row r="35" spans="2:4" x14ac:dyDescent="0.25">
      <c r="B35" s="351"/>
      <c r="C35" s="351"/>
      <c r="D35" s="351"/>
    </row>
    <row r="36" spans="2:4" x14ac:dyDescent="0.25">
      <c r="B36" s="351"/>
      <c r="C36" s="351"/>
      <c r="D36" s="351"/>
    </row>
    <row r="37" spans="2:4" x14ac:dyDescent="0.25">
      <c r="B37" s="351"/>
      <c r="C37" s="351"/>
      <c r="D37" s="351"/>
    </row>
  </sheetData>
  <sheetProtection algorithmName="SHA-512" hashValue="ayTmbN0hLsGiGvll33a7GU3Ri9I42Xsy9JBZ0kpD01rnL2AxCxZu1u8ljeR0IF0BsDiUvkLOr++fTDRL11PFLA==" saltValue="FFtR/rUheM61U4F/tjGhnA==" spinCount="100000" sheet="1" objects="1" selectLockedCells="1" selectUnlockedCells="1"/>
  <mergeCells count="38">
    <mergeCell ref="C2:X2"/>
    <mergeCell ref="T20:X20"/>
    <mergeCell ref="M16:N17"/>
    <mergeCell ref="Q16:R17"/>
    <mergeCell ref="P23:Q23"/>
    <mergeCell ref="T23:V23"/>
    <mergeCell ref="U15:V15"/>
    <mergeCell ref="V6:X8"/>
    <mergeCell ref="U14:V14"/>
    <mergeCell ref="U11:V11"/>
    <mergeCell ref="F4:G5"/>
    <mergeCell ref="I4:J5"/>
    <mergeCell ref="L4:M5"/>
    <mergeCell ref="O4:P4"/>
    <mergeCell ref="R4:S5"/>
    <mergeCell ref="V4:X4"/>
    <mergeCell ref="B25:D27"/>
    <mergeCell ref="O27:P27"/>
    <mergeCell ref="P21:Q21"/>
    <mergeCell ref="T21:V21"/>
    <mergeCell ref="P22:Q22"/>
    <mergeCell ref="T22:V22"/>
    <mergeCell ref="O5:P5"/>
    <mergeCell ref="V5:W5"/>
    <mergeCell ref="B28:D31"/>
    <mergeCell ref="B32:D37"/>
    <mergeCell ref="F27:N27"/>
    <mergeCell ref="I20:K20"/>
    <mergeCell ref="J21:K21"/>
    <mergeCell ref="J22:K22"/>
    <mergeCell ref="J23:K23"/>
    <mergeCell ref="M23:N23"/>
    <mergeCell ref="M21:N21"/>
    <mergeCell ref="M22:N22"/>
    <mergeCell ref="F20:H20"/>
    <mergeCell ref="M20:N20"/>
    <mergeCell ref="B22:D24"/>
    <mergeCell ref="B19:D21"/>
  </mergeCells>
  <conditionalFormatting sqref="W23">
    <cfRule type="cellIs" dxfId="16" priority="21" operator="lessThan">
      <formula>0</formula>
    </cfRule>
  </conditionalFormatting>
  <conditionalFormatting sqref="X10:X15">
    <cfRule type="containsErrors" dxfId="15" priority="31">
      <formula>ISERROR(X10)</formula>
    </cfRule>
  </conditionalFormatting>
  <conditionalFormatting sqref="D5">
    <cfRule type="containsErrors" dxfId="14" priority="8">
      <formula>ISERROR(D5)</formula>
    </cfRule>
  </conditionalFormatting>
  <pageMargins left="0.7" right="0.7" top="0.75" bottom="0.75" header="0.3" footer="0.3"/>
  <pageSetup paperSize="9" scale="69"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5" id="{40C1F257-1660-4EC5-8023-97DF6C627A53}">
            <xm:f>'STEP 2 Detailed analysis'!$P$8&gt;0</xm:f>
            <x14:dxf>
              <font>
                <color theme="0"/>
              </font>
              <fill>
                <patternFill>
                  <bgColor theme="0"/>
                </patternFill>
              </fill>
            </x14:dxf>
          </x14:cfRule>
          <xm:sqref>B32</xm:sqref>
        </x14:conditionalFormatting>
        <x14:conditionalFormatting xmlns:xm="http://schemas.microsoft.com/office/excel/2006/main">
          <x14:cfRule type="expression" priority="26" id="{AA0CD9B4-6519-477B-968E-23DC21333EDC}">
            <xm:f>'STEP 2 Detailed analysis'!$AF$34</xm:f>
            <x14:dxf>
              <font>
                <color theme="0"/>
              </font>
              <fill>
                <patternFill>
                  <bgColor theme="0"/>
                </patternFill>
              </fill>
            </x14:dxf>
          </x14:cfRule>
          <xm:sqref>B25</xm:sqref>
        </x14:conditionalFormatting>
        <x14:conditionalFormatting xmlns:xm="http://schemas.microsoft.com/office/excel/2006/main">
          <x14:cfRule type="expression" priority="27" id="{18D3C14E-E683-4162-A80E-7B11665D02B6}">
            <xm:f>'STEP 2 Detailed analysis'!$AF$27=0</xm:f>
            <x14:dxf>
              <font>
                <color rgb="FF006100"/>
              </font>
              <fill>
                <patternFill>
                  <bgColor rgb="FFC6EFCE"/>
                </patternFill>
              </fill>
            </x14:dxf>
          </x14:cfRule>
          <xm:sqref>B22</xm:sqref>
        </x14:conditionalFormatting>
        <x14:conditionalFormatting xmlns:xm="http://schemas.microsoft.com/office/excel/2006/main">
          <x14:cfRule type="cellIs" priority="14" operator="lessThan" id="{7E6CA144-F172-41A0-A3E6-AD875E47DC49}">
            <xm:f>'STEP 2 Detailed analysis'!$AC$16</xm:f>
            <x14:dxf>
              <font>
                <color rgb="FF9C0006"/>
              </font>
              <fill>
                <patternFill>
                  <bgColor rgb="FFFFC7CE"/>
                </patternFill>
              </fill>
            </x14:dxf>
          </x14:cfRule>
          <xm:sqref>C11</xm:sqref>
        </x14:conditionalFormatting>
        <x14:conditionalFormatting xmlns:xm="http://schemas.microsoft.com/office/excel/2006/main">
          <x14:cfRule type="expression" priority="30" id="{A6254460-4757-4784-AE95-4FA75DF57870}">
            <xm:f>NOT('STEP 2 Detailed analysis'!$AF$35)</xm:f>
            <x14:dxf>
              <font>
                <color theme="0" tint="-0.14996795556505021"/>
              </font>
              <fill>
                <patternFill>
                  <bgColor theme="0" tint="-0.14996795556505021"/>
                </patternFill>
              </fill>
            </x14:dxf>
          </x14:cfRule>
          <xm:sqref>W22:X23</xm:sqref>
        </x14:conditionalFormatting>
        <x14:conditionalFormatting xmlns:xm="http://schemas.microsoft.com/office/excel/2006/main">
          <x14:cfRule type="expression" priority="129" id="{E236F74F-1D5F-475F-A811-DD62A2BF03C9}">
            <xm:f>NOT('STEP 2 Detailed analysis'!$AF$35)</xm:f>
            <x14:dxf>
              <font>
                <color rgb="FF9C0006"/>
              </font>
              <fill>
                <patternFill>
                  <bgColor rgb="FFFFC7CE"/>
                </patternFill>
              </fill>
            </x14:dxf>
          </x14:cfRule>
          <x14:cfRule type="expression" priority="130" id="{1C3ADF4A-07AF-41C3-B68F-D3C958A92B91}">
            <xm:f>'STEP 2 Detailed analysis'!$X$32&lt;0</xm:f>
            <x14:dxf>
              <font>
                <color rgb="FF9C5700"/>
              </font>
              <fill>
                <patternFill>
                  <bgColor rgb="FFFFEB9C"/>
                </patternFill>
              </fill>
            </x14:dxf>
          </x14:cfRule>
          <xm:sqref>B28</xm:sqref>
        </x14:conditionalFormatting>
        <x14:conditionalFormatting xmlns:xm="http://schemas.microsoft.com/office/excel/2006/main">
          <x14:cfRule type="expression" priority="1" id="{1193A338-48CB-4CB9-B882-0721FB85B122}">
            <xm:f>'STEP 2 Detailed analysis'!$I$30='STEP 2 Detailed analysis'!$AE$53</xm:f>
            <x14:dxf>
              <font>
                <color rgb="FF9C5700"/>
              </font>
              <fill>
                <patternFill>
                  <bgColor rgb="FFFFEB9C"/>
                </patternFill>
              </fill>
            </x14:dxf>
          </x14:cfRule>
          <x14:cfRule type="expression" priority="2" id="{6DA4CBE0-F74F-435D-BDDC-A37BF37BF3C4}">
            <xm:f>'STEP 2 Detailed analysis'!$I$30='STEP 2 Detailed analysis'!$AE$50</xm:f>
            <x14:dxf>
              <font>
                <color rgb="FF9C0006"/>
              </font>
              <fill>
                <patternFill>
                  <bgColor rgb="FFFFC7CE"/>
                </patternFill>
              </fill>
            </x14:dxf>
          </x14:cfRule>
          <x14:cfRule type="expression" priority="3" id="{8FDDF65A-92EE-4C06-9BCF-7DD9FF086507}">
            <xm:f>'STEP 2 Detailed analysis'!$I$30='STEP 2 Detailed analysis'!$AE$51</xm:f>
            <x14:dxf>
              <font>
                <color rgb="FF006100"/>
              </font>
              <fill>
                <patternFill>
                  <bgColor rgb="FFC6EFCE"/>
                </patternFill>
              </fill>
            </x14:dxf>
          </x14:cfRule>
          <x14:cfRule type="expression" priority="4" id="{1405D546-5B3D-438D-A07B-1F97F6547785}">
            <xm:f>'STEP 2 Detailed analysis'!$I$30='STEP 2 Detailed analysis'!$AE$52</xm:f>
            <x14:dxf>
              <font>
                <color rgb="FF006100"/>
              </font>
              <fill>
                <patternFill>
                  <bgColor rgb="FFC6EFCE"/>
                </patternFill>
              </fill>
            </x14:dxf>
          </x14:cfRule>
          <xm:sqref>G21:H21</xm:sqref>
        </x14:conditionalFormatting>
        <x14:conditionalFormatting xmlns:xm="http://schemas.microsoft.com/office/excel/2006/main">
          <x14:cfRule type="expression" priority="202" id="{3267E303-3DC2-4682-9E8E-1307F52A5232}">
            <xm:f>'STEP 2 Detailed analysis'!$D$28&gt;'STEP 2 Detailed analysis'!$AC$16</xm:f>
            <x14:dxf>
              <font>
                <color rgb="FF006100"/>
              </font>
              <fill>
                <patternFill>
                  <bgColor rgb="FFC6EFCE"/>
                </patternFill>
              </fill>
            </x14:dxf>
          </x14:cfRule>
          <x14:cfRule type="expression" priority="203" id="{1566FA19-6815-4FC3-B0B1-DE6988B37DE3}">
            <xm:f>'STEP 2 Detailed analysis'!$D$28&lt;='STEP 2 Detailed analysis'!$AC$16</xm:f>
            <x14:dxf>
              <font>
                <color rgb="FF9C0006"/>
              </font>
              <fill>
                <patternFill>
                  <bgColor rgb="FFFFC7CE"/>
                </patternFill>
              </fill>
            </x14:dxf>
          </x14:cfRule>
          <xm:sqref>B19</xm:sqref>
        </x14:conditionalFormatting>
        <x14:conditionalFormatting xmlns:xm="http://schemas.microsoft.com/office/excel/2006/main">
          <x14:cfRule type="expression" priority="204" id="{D2192AD7-0E1A-486A-8EB6-224392D3C610}">
            <xm:f>'STEP 2 Detailed analysis'!$D$28&gt;'STEP 2 Detailed analysis'!$AC$17</xm:f>
            <x14:dxf>
              <font>
                <color rgb="FF9C5700"/>
              </font>
              <fill>
                <patternFill>
                  <bgColor theme="7" tint="0.59996337778862885"/>
                </patternFill>
              </fill>
            </x14:dxf>
          </x14:cfRule>
          <xm:sqref>B19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B8429-F59E-4EE5-8CEA-8BC484AAF901}">
  <sheetPr>
    <tabColor theme="5" tint="0.39997558519241921"/>
  </sheetPr>
  <dimension ref="B1:W2"/>
  <sheetViews>
    <sheetView showGridLines="0" workbookViewId="0">
      <selection activeCell="L38" sqref="L38"/>
    </sheetView>
  </sheetViews>
  <sheetFormatPr defaultRowHeight="15" x14ac:dyDescent="0.25"/>
  <cols>
    <col min="1" max="1" width="2.28515625" customWidth="1"/>
    <col min="23" max="23" width="4.140625" customWidth="1"/>
  </cols>
  <sheetData>
    <row r="1" spans="2:23" ht="6.75" customHeight="1" x14ac:dyDescent="0.25"/>
    <row r="2" spans="2:23" x14ac:dyDescent="0.25">
      <c r="B2" s="48" t="s">
        <v>340</v>
      </c>
      <c r="C2" s="49"/>
      <c r="D2" s="49"/>
      <c r="E2" s="49"/>
      <c r="F2" s="49"/>
      <c r="G2" s="49"/>
      <c r="H2" s="49"/>
      <c r="I2" s="49"/>
      <c r="J2" s="49"/>
      <c r="K2" s="49"/>
      <c r="L2" s="49"/>
      <c r="M2" s="49"/>
      <c r="N2" s="49"/>
      <c r="O2" s="49"/>
      <c r="P2" s="49"/>
      <c r="Q2" s="49"/>
      <c r="R2" s="49"/>
      <c r="S2" s="49"/>
      <c r="T2" s="49"/>
      <c r="U2" s="49"/>
      <c r="V2" s="49"/>
      <c r="W2" s="49"/>
    </row>
  </sheetData>
  <sheetProtection sheet="1" objects="1" scenarios="1" selectLockedCells="1"/>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BFC1F-E0E0-4680-974D-51F28440B430}">
  <sheetPr>
    <tabColor theme="5" tint="0.39997558519241921"/>
  </sheetPr>
  <dimension ref="B1:W2"/>
  <sheetViews>
    <sheetView showGridLines="0" workbookViewId="0"/>
  </sheetViews>
  <sheetFormatPr defaultRowHeight="15" x14ac:dyDescent="0.25"/>
  <cols>
    <col min="1" max="1" width="2.28515625" customWidth="1"/>
    <col min="23" max="23" width="4.140625" customWidth="1"/>
  </cols>
  <sheetData>
    <row r="1" spans="2:23" ht="6.75" customHeight="1" x14ac:dyDescent="0.25"/>
    <row r="2" spans="2:23" x14ac:dyDescent="0.25">
      <c r="B2" s="48" t="s">
        <v>343</v>
      </c>
      <c r="C2" s="49"/>
      <c r="D2" s="49"/>
      <c r="E2" s="49"/>
      <c r="F2" s="49"/>
      <c r="G2" s="49"/>
      <c r="H2" s="49"/>
      <c r="I2" s="49"/>
      <c r="J2" s="49"/>
      <c r="K2" s="49"/>
      <c r="L2" s="49"/>
      <c r="M2" s="49"/>
      <c r="N2" s="49"/>
      <c r="O2" s="49"/>
      <c r="P2" s="49"/>
      <c r="Q2" s="49"/>
      <c r="R2" s="49"/>
      <c r="S2" s="49"/>
      <c r="T2" s="49"/>
      <c r="U2" s="49"/>
      <c r="V2" s="49"/>
      <c r="W2" s="49"/>
    </row>
  </sheetData>
  <sheetProtection sheet="1" objects="1" scenarios="1" selectLockedCells="1"/>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31E09-1035-4F5D-8B52-4DE78C4257DB}">
  <sheetPr>
    <tabColor theme="5" tint="0.39997558519241921"/>
  </sheetPr>
  <dimension ref="B1:W2"/>
  <sheetViews>
    <sheetView showGridLines="0" workbookViewId="0">
      <selection activeCell="T43" sqref="T43"/>
    </sheetView>
  </sheetViews>
  <sheetFormatPr defaultRowHeight="15" x14ac:dyDescent="0.25"/>
  <cols>
    <col min="1" max="1" width="2.28515625" customWidth="1"/>
    <col min="23" max="23" width="4.140625" customWidth="1"/>
  </cols>
  <sheetData>
    <row r="1" spans="2:23" ht="6.75" customHeight="1" x14ac:dyDescent="0.25"/>
    <row r="2" spans="2:23" x14ac:dyDescent="0.25">
      <c r="B2" s="48" t="s">
        <v>343</v>
      </c>
      <c r="C2" s="49"/>
      <c r="D2" s="49"/>
      <c r="E2" s="49"/>
      <c r="F2" s="49"/>
      <c r="G2" s="49"/>
      <c r="H2" s="49"/>
      <c r="I2" s="49"/>
      <c r="J2" s="49"/>
      <c r="K2" s="49"/>
      <c r="L2" s="49"/>
      <c r="M2" s="49"/>
      <c r="N2" s="49"/>
      <c r="O2" s="49"/>
      <c r="P2" s="49"/>
      <c r="Q2" s="49"/>
      <c r="R2" s="49"/>
      <c r="S2" s="49"/>
      <c r="T2" s="49"/>
      <c r="U2" s="49"/>
      <c r="V2" s="49"/>
      <c r="W2" s="49"/>
    </row>
  </sheetData>
  <sheetProtection sheet="1" objects="1" scenarios="1" selectLockedCells="1"/>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3B188-407D-4084-B214-5C82DC3E4635}">
  <sheetPr>
    <tabColor theme="5" tint="0.39997558519241921"/>
  </sheetPr>
  <dimension ref="B1:X2"/>
  <sheetViews>
    <sheetView showGridLines="0" workbookViewId="0"/>
  </sheetViews>
  <sheetFormatPr defaultRowHeight="15" x14ac:dyDescent="0.25"/>
  <cols>
    <col min="1" max="1" width="2.28515625" customWidth="1"/>
    <col min="23" max="23" width="4.140625" customWidth="1"/>
  </cols>
  <sheetData>
    <row r="1" spans="2:24" ht="6.75" customHeight="1" x14ac:dyDescent="0.25"/>
    <row r="2" spans="2:24" x14ac:dyDescent="0.25">
      <c r="B2" s="55" t="s">
        <v>340</v>
      </c>
      <c r="C2" s="55"/>
      <c r="D2" s="55"/>
      <c r="E2" s="55"/>
      <c r="F2" s="55"/>
      <c r="G2" s="55"/>
      <c r="H2" s="55"/>
      <c r="I2" s="55"/>
      <c r="J2" s="55"/>
      <c r="K2" s="55"/>
      <c r="L2" s="55"/>
      <c r="M2" s="55"/>
      <c r="N2" s="55"/>
      <c r="O2" s="55"/>
      <c r="P2" s="55"/>
      <c r="Q2" s="55"/>
      <c r="R2" s="55"/>
      <c r="S2" s="55"/>
      <c r="T2" s="55"/>
      <c r="U2" s="55"/>
      <c r="V2" s="55"/>
      <c r="W2" s="55"/>
      <c r="X2" s="55"/>
    </row>
  </sheetData>
  <sheetProtection sheet="1" objects="1" scenarios="1" selectLockedCells="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1 6 " ? > < D a t a M a s h u p   x m l n s = " h t t p : / / s c h e m a s . m i c r o s o f t . c o m / D a t a M a s h u p " > A A A A A B U D A A B Q S w M E F A A C A A g A a 2 x H V A D 8 1 C e l A A A A 9 Q A A A B I A H A B D b 2 5 m a W c v U G F j a 2 F n Z S 5 4 b W w g o h g A K K A U A A A A A A A A A A A A A A A A A A A A A A A A A A A A h Y 9 B C s I w F E S v U r J v E q N I L b 8 p 4 t a C I I r b k M Y 2 2 K b S p K Z 3 c + G R v I I V r b p z O W 9 m Y O Z + v U H a 1 1 V w U a 3 V j U n Q B F M U K C O b X J s i Q Z 0 7 h h F K O W y E P I l C B U P Y 2 L i 3 O k G l c + e Y E O 8 9 9 l P c t A V h l E 7 I I V t v Z a l q E W p j n T B S o U 8 r / 9 9 C H P a v M Z z h x R x H M 4 Y p k J F B p s 3 X Z 8 P c p / s D Y d V V r m s V V y Z c 7 o C M E s j 7 A n 8 A U E s D B B Q A A g A I A G t s R 1 Q 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r b E d U K I p H u A 4 A A A A R A A A A E w A c A E Z v c m 1 1 b G F z L 1 N l Y 3 R p b 2 4 x L m 0 g o h g A K K A U A A A A A A A A A A A A A A A A A A A A A A A A A A A A K 0 5 N L s n M z 1 M I h t C G 1 g B Q S w E C L Q A U A A I A C A B r b E d U A P z U J 6 U A A A D 1 A A A A E g A A A A A A A A A A A A A A A A A A A A A A Q 2 9 u Z m l n L 1 B h Y 2 t h Z 2 U u e G 1 s U E s B A i 0 A F A A C A A g A a 2 x H V A / K 6 a u k A A A A 6 Q A A A B M A A A A A A A A A A A A A A A A A 8 Q A A A F t D b 2 5 0 Z W 5 0 X 1 R 5 c G V z X S 5 4 b W x Q S w E C L Q A U A A I A C A B r b E d U K I p H u A 4 A A A A R A A A A E w A A A A A A A A A A A A A A A A D i A Q A A R m 9 y b X V s Y X M v U 2 V j d G l v b j E u b V B L B Q Y A A A A A A w A D A M I A A A A 9 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5 j D m f b e 3 I E e A O B P H g d p j / g A A A A A C A A A A A A A D Z g A A w A A A A B A A A A D B u A S Z c E f + O Z h 5 H 8 M M i J c F A A A A A A S A A A C g A A A A E A A A A C R J u 1 I b E a G V 3 n Y n U + i 5 z o 5 Q A A A A V 5 L E 6 h R K J h t h 7 c P w Z H / Z x 4 B y f h V p n W k U e q M u W 5 1 K M P 2 W E d 0 w e 1 r Q M 9 M j K t n 6 d V e p A g C w N t 4 G x 5 j C I j N 2 m R g Y L d U A I W 8 N C a r L + k b f c 8 K i p N 0 U A A A A B p Z G M 2 9 w y Q F y D f a d p p y d J T z W Z w g = < / D a t a M a s h u p > 
</file>

<file path=customXml/item2.xml><?xml version="1.0" encoding="utf-8"?>
<ct:contentTypeSchema xmlns:ct="http://schemas.microsoft.com/office/2006/metadata/contentType" xmlns:ma="http://schemas.microsoft.com/office/2006/metadata/properties/metaAttributes" ct:_="" ma:_="" ma:contentTypeName="DEDJTR Document" ma:contentTypeID="0x010100611F6414DFB111E7BA88F9DF1743E317007DD2F07D78D8274EB99EFCF32F05DC11" ma:contentTypeVersion="28" ma:contentTypeDescription="DEDJTR Document" ma:contentTypeScope="" ma:versionID="412dd361d2362e4050ba96b679b4839d">
  <xsd:schema xmlns:xsd="http://www.w3.org/2001/XMLSchema" xmlns:xs="http://www.w3.org/2001/XMLSchema" xmlns:p="http://schemas.microsoft.com/office/2006/metadata/properties" xmlns:ns2="1970f3ff-c7c3-4b73-8f0c-0bc260d159f3" xmlns:ns3="00859dcf-0dab-4099-a5d8-10172deb17e4" xmlns:ns4="dd2f24b0-6a96-4e49-96e5-f74f55a217b4" xmlns:ns5="5561a58a-835c-4bfd-ad4e-939529893ef0" targetNamespace="http://schemas.microsoft.com/office/2006/metadata/properties" ma:root="true" ma:fieldsID="b6aa8bcfe6f6d474d32715a3919cfa0b" ns2:_="" ns3:_="" ns4:_="" ns5:_="">
    <xsd:import namespace="1970f3ff-c7c3-4b73-8f0c-0bc260d159f3"/>
    <xsd:import namespace="00859dcf-0dab-4099-a5d8-10172deb17e4"/>
    <xsd:import namespace="dd2f24b0-6a96-4e49-96e5-f74f55a217b4"/>
    <xsd:import namespace="5561a58a-835c-4bfd-ad4e-939529893ef0"/>
    <xsd:element name="properties">
      <xsd:complexType>
        <xsd:sequence>
          <xsd:element name="documentManagement">
            <xsd:complexType>
              <xsd:all>
                <xsd:element ref="ns2:g46a9f61d38540a784cfecbd3da27bca" minOccurs="0"/>
                <xsd:element ref="ns3:TaxCatchAll" minOccurs="0"/>
                <xsd:element ref="ns3:TaxCatchAllLabel" minOccurs="0"/>
                <xsd:element ref="ns2:b4605c5f9d584382a57fb8476d85f713" minOccurs="0"/>
                <xsd:element ref="ns2:p31afe295eb448f092f13ab8c2af2c33" minOccurs="0"/>
                <xsd:element ref="ns2:hcae176ec3a54dbeadeeec1b38baec58" minOccurs="0"/>
                <xsd:element ref="ns2:lf5681727d5b4cc1a5c417fcf66e2a7b" minOccurs="0"/>
                <xsd:element ref="ns4:MediaServiceMetadata" minOccurs="0"/>
                <xsd:element ref="ns4:MediaServiceFastMetadata" minOccurs="0"/>
                <xsd:element ref="ns5:MediaServiceDateTaken" minOccurs="0"/>
                <xsd:element ref="ns5:MediaServiceAutoTags" minOccurs="0"/>
                <xsd:element ref="ns5:MediaServiceGenerationTime" minOccurs="0"/>
                <xsd:element ref="ns5:MediaServiceEventHashCode" minOccurs="0"/>
                <xsd:element ref="ns5:MediaServiceOCR" minOccurs="0"/>
                <xsd:element ref="ns3:SharedWithUsers" minOccurs="0"/>
                <xsd:element ref="ns3:SharedWithDetails" minOccurs="0"/>
                <xsd:element ref="ns5:MediaServiceAutoKeyPoints" minOccurs="0"/>
                <xsd:element ref="ns5:MediaServiceKeyPoints" minOccurs="0"/>
                <xsd:element ref="ns5:MediaServiceLocation" minOccurs="0"/>
                <xsd:element ref="ns5:MediaLengthInSeconds" minOccurs="0"/>
                <xsd:element ref="ns5: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70f3ff-c7c3-4b73-8f0c-0bc260d159f3" elementFormDefault="qualified">
    <xsd:import namespace="http://schemas.microsoft.com/office/2006/documentManagement/types"/>
    <xsd:import namespace="http://schemas.microsoft.com/office/infopath/2007/PartnerControls"/>
    <xsd:element name="g46a9f61d38540a784cfecbd3da27bca" ma:index="8" nillable="true" ma:taxonomy="true" ma:internalName="g46a9f61d38540a784cfecbd3da27bca" ma:taxonomyFieldName="DEDJTRGroup" ma:displayName="Group" ma:indexed="true" ma:fieldId="{046a9f61-d385-40a7-84cf-ecbd3da27bca}" ma:sspId="9292314e-c97d-49c1-8ae7-4cb6e1c4f97c" ma:termSetId="da3e7bcb-eeaa-4707-acea-ba4da45cec05" ma:anchorId="00000000-0000-0000-0000-000000000000" ma:open="false" ma:isKeyword="false">
      <xsd:complexType>
        <xsd:sequence>
          <xsd:element ref="pc:Terms" minOccurs="0" maxOccurs="1"/>
        </xsd:sequence>
      </xsd:complexType>
    </xsd:element>
    <xsd:element name="b4605c5f9d584382a57fb8476d85f713" ma:index="12" nillable="true" ma:taxonomy="true" ma:internalName="b4605c5f9d584382a57fb8476d85f713" ma:taxonomyFieldName="DEDJTRDivision" ma:displayName="Division" ma:indexed="true" ma:fieldId="{b4605c5f-9d58-4382-a57f-b8476d85f713}" ma:sspId="9292314e-c97d-49c1-8ae7-4cb6e1c4f97c" ma:termSetId="da3e7bcb-eeaa-4707-acea-ba4da45cec05" ma:anchorId="00000000-0000-0000-0000-000000000000" ma:open="false" ma:isKeyword="false">
      <xsd:complexType>
        <xsd:sequence>
          <xsd:element ref="pc:Terms" minOccurs="0" maxOccurs="1"/>
        </xsd:sequence>
      </xsd:complexType>
    </xsd:element>
    <xsd:element name="p31afe295eb448f092f13ab8c2af2c33" ma:index="14" nillable="true" ma:taxonomy="true" ma:internalName="p31afe295eb448f092f13ab8c2af2c33" ma:taxonomyFieldName="DEDJTRBranch" ma:displayName="Branch" ma:indexed="true" ma:fieldId="{931afe29-5eb4-48f0-92f1-3ab8c2af2c33}" ma:sspId="9292314e-c97d-49c1-8ae7-4cb6e1c4f97c" ma:termSetId="da3e7bcb-eeaa-4707-acea-ba4da45cec05" ma:anchorId="00000000-0000-0000-0000-000000000000" ma:open="false" ma:isKeyword="false">
      <xsd:complexType>
        <xsd:sequence>
          <xsd:element ref="pc:Terms" minOccurs="0" maxOccurs="1"/>
        </xsd:sequence>
      </xsd:complexType>
    </xsd:element>
    <xsd:element name="hcae176ec3a54dbeadeeec1b38baec58" ma:index="16" nillable="true" ma:taxonomy="true" ma:internalName="hcae176ec3a54dbeadeeec1b38baec58" ma:taxonomyFieldName="DEDJTRSection" ma:displayName="Section" ma:indexed="true" ma:fieldId="{1cae176e-c3a5-4dbe-adee-ec1b38baec58}" ma:sspId="9292314e-c97d-49c1-8ae7-4cb6e1c4f97c" ma:termSetId="da3e7bcb-eeaa-4707-acea-ba4da45cec05" ma:anchorId="00000000-0000-0000-0000-000000000000" ma:open="false" ma:isKeyword="false">
      <xsd:complexType>
        <xsd:sequence>
          <xsd:element ref="pc:Terms" minOccurs="0" maxOccurs="1"/>
        </xsd:sequence>
      </xsd:complexType>
    </xsd:element>
    <xsd:element name="lf5681727d5b4cc1a5c417fcf66e2a7b" ma:index="18" nillable="true" ma:taxonomy="true" ma:internalName="lf5681727d5b4cc1a5c417fcf66e2a7b" ma:taxonomyFieldName="DEDJTRSecurityClassification" ma:displayName="Security Classification" ma:fieldId="{5f568172-7d5b-4cc1-a5c4-17fcf66e2a7b}" ma:sspId="9292314e-c97d-49c1-8ae7-4cb6e1c4f97c" ma:termSetId="e639de15-6b57-4d67-aed9-4113af6bf4b4"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00859dcf-0dab-4099-a5d8-10172deb17e4"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6e7cca4a-03a5-41c1-ad59-ec99be61f472}" ma:internalName="TaxCatchAll" ma:showField="CatchAllData" ma:web="00859dcf-0dab-4099-a5d8-10172deb17e4">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6e7cca4a-03a5-41c1-ad59-ec99be61f472}" ma:internalName="TaxCatchAllLabel" ma:readOnly="true" ma:showField="CatchAllDataLabel" ma:web="00859dcf-0dab-4099-a5d8-10172deb17e4">
      <xsd:complexType>
        <xsd:complexContent>
          <xsd:extension base="dms:MultiChoiceLookup">
            <xsd:sequence>
              <xsd:element name="Value" type="dms:Lookup" maxOccurs="unbounded" minOccurs="0" nillable="true"/>
            </xsd:sequence>
          </xsd:extension>
        </xsd:complexContent>
      </xsd:complexType>
    </xsd:element>
    <xsd:element name="SharedWithUsers" ma:index="2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8"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d2f24b0-6a96-4e49-96e5-f74f55a217b4" elementFormDefault="qualified">
    <xsd:import namespace="http://schemas.microsoft.com/office/2006/documentManagement/types"/>
    <xsd:import namespace="http://schemas.microsoft.com/office/infopath/2007/PartnerControls"/>
    <xsd:element name="MediaServiceMetadata" ma:index="20" nillable="true" ma:displayName="MediaServiceMetadata" ma:hidden="true" ma:internalName="MediaServiceMetadata" ma:readOnly="true">
      <xsd:simpleType>
        <xsd:restriction base="dms:Note"/>
      </xsd:simpleType>
    </xsd:element>
    <xsd:element name="MediaServiceFastMetadata" ma:index="21"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561a58a-835c-4bfd-ad4e-939529893ef0" elementFormDefault="qualified">
    <xsd:import namespace="http://schemas.microsoft.com/office/2006/documentManagement/types"/>
    <xsd:import namespace="http://schemas.microsoft.com/office/infopath/2007/PartnerControls"/>
    <xsd:element name="MediaServiceDateTaken" ma:index="22" nillable="true" ma:displayName="MediaServiceDateTaken" ma:hidden="true" ma:internalName="MediaServiceDateTaken" ma:readOnly="true">
      <xsd:simpleType>
        <xsd:restriction base="dms:Text"/>
      </xsd:simpleType>
    </xsd:element>
    <xsd:element name="MediaServiceAutoTags" ma:index="23" nillable="true" ma:displayName="Tags" ma:internalName="MediaServiceAutoTags" ma:readOnly="true">
      <xsd:simpleType>
        <xsd:restriction base="dms:Text"/>
      </xsd:simpleType>
    </xsd:element>
    <xsd:element name="MediaServiceGenerationTime" ma:index="24" nillable="true" ma:displayName="MediaServiceGenerationTime" ma:hidden="true" ma:internalName="MediaServiceGenerationTime" ma:readOnly="true">
      <xsd:simpleType>
        <xsd:restriction base="dms:Text"/>
      </xsd:simpleType>
    </xsd:element>
    <xsd:element name="MediaServiceEventHashCode" ma:index="25" nillable="true" ma:displayName="MediaServiceEventHashCode" ma:hidden="true" ma:internalName="MediaServiceEventHashCode" ma:readOnly="true">
      <xsd:simpleType>
        <xsd:restriction base="dms:Text"/>
      </xsd:simpleType>
    </xsd:element>
    <xsd:element name="MediaServiceOCR" ma:index="26" nillable="true" ma:displayName="Extracted Text" ma:internalName="MediaServiceOCR" ma:readOnly="true">
      <xsd:simpleType>
        <xsd:restriction base="dms:Note">
          <xsd:maxLength value="255"/>
        </xsd:restriction>
      </xsd:simpleType>
    </xsd:element>
    <xsd:element name="MediaServiceAutoKeyPoints" ma:index="29" nillable="true" ma:displayName="MediaServiceAutoKeyPoints" ma:hidden="true" ma:internalName="MediaServiceAutoKeyPoints" ma:readOnly="true">
      <xsd:simpleType>
        <xsd:restriction base="dms:Note"/>
      </xsd:simpleType>
    </xsd:element>
    <xsd:element name="MediaServiceKeyPoints" ma:index="30" nillable="true" ma:displayName="KeyPoints" ma:internalName="MediaServiceKeyPoints" ma:readOnly="true">
      <xsd:simpleType>
        <xsd:restriction base="dms:Note">
          <xsd:maxLength value="255"/>
        </xsd:restriction>
      </xsd:simpleType>
    </xsd:element>
    <xsd:element name="MediaServiceLocation" ma:index="31" nillable="true" ma:displayName="Location" ma:internalName="MediaServiceLocation" ma:readOnly="true">
      <xsd:simpleType>
        <xsd:restriction base="dms:Text"/>
      </xsd:simpleType>
    </xsd:element>
    <xsd:element name="MediaLengthInSeconds" ma:index="32" nillable="true" ma:displayName="Length (seconds)" ma:internalName="MediaLengthInSeconds" ma:readOnly="true">
      <xsd:simpleType>
        <xsd:restriction base="dms:Unknown"/>
      </xsd:simpleType>
    </xsd:element>
    <xsd:element name="lcf76f155ced4ddcb4097134ff3c332f" ma:index="34" nillable="true" ma:taxonomy="true" ma:internalName="lcf76f155ced4ddcb4097134ff3c332f" ma:taxonomyFieldName="MediaServiceImageTags" ma:displayName="Image Tags" ma:readOnly="false" ma:fieldId="{5cf76f15-5ced-4ddc-b409-7134ff3c332f}" ma:taxonomyMulti="true" ma:sspId="9292314e-c97d-49c1-8ae7-4cb6e1c4f97c"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9A2BBC1-3AB4-4BEA-8F47-B206FF4528CF}">
  <ds:schemaRefs>
    <ds:schemaRef ds:uri="http://schemas.microsoft.com/DataMashup"/>
  </ds:schemaRefs>
</ds:datastoreItem>
</file>

<file path=customXml/itemProps2.xml><?xml version="1.0" encoding="utf-8"?>
<ds:datastoreItem xmlns:ds="http://schemas.openxmlformats.org/officeDocument/2006/customXml" ds:itemID="{D400DCED-E354-4DE0-9219-DDC1EA71B26C}"/>
</file>

<file path=customXml/itemProps3.xml><?xml version="1.0" encoding="utf-8"?>
<ds:datastoreItem xmlns:ds="http://schemas.openxmlformats.org/officeDocument/2006/customXml" ds:itemID="{1B19B2B2-5CB6-464E-B7F9-225F8A52839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Introduction</vt:lpstr>
      <vt:lpstr>STEP 1 Benchmark</vt:lpstr>
      <vt:lpstr>STEP 2 Detailed analysis</vt:lpstr>
      <vt:lpstr>STEP 3 System capacity</vt:lpstr>
      <vt:lpstr>System Analysis Report</vt:lpstr>
      <vt:lpstr>Help - Step 1</vt:lpstr>
      <vt:lpstr>Help - Step 2 data input</vt:lpstr>
      <vt:lpstr>Help - Step interpretation</vt:lpstr>
      <vt:lpstr>Help - Step 3</vt:lpstr>
      <vt:lpstr>Help - Report</vt:lpstr>
      <vt:lpstr>Endgun models</vt:lpstr>
      <vt:lpstr>data for graph</vt:lpstr>
      <vt:lpstr>'System Analysis Report'!Print_Area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Bullock Nick</dc:creator>
  <cp:keywords/>
  <dc:description/>
  <cp:lastModifiedBy>Nick J O'Halloran (DJPR)</cp:lastModifiedBy>
  <cp:revision/>
  <cp:lastPrinted>2022-08-02T04:40:21Z</cp:lastPrinted>
  <dcterms:created xsi:type="dcterms:W3CDTF">2021-03-23T02:44:49Z</dcterms:created>
  <dcterms:modified xsi:type="dcterms:W3CDTF">2022-10-16T23:44:15Z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ada7abd-22af-4be4-9080-cf0e1de95e2f_Enabled">
    <vt:lpwstr>true</vt:lpwstr>
  </property>
  <property fmtid="{D5CDD505-2E9C-101B-9397-08002B2CF9AE}" pid="3" name="MSIP_Label_aada7abd-22af-4be4-9080-cf0e1de95e2f_SetDate">
    <vt:lpwstr>2022-07-28T04:02:26Z</vt:lpwstr>
  </property>
  <property fmtid="{D5CDD505-2E9C-101B-9397-08002B2CF9AE}" pid="4" name="MSIP_Label_aada7abd-22af-4be4-9080-cf0e1de95e2f_Method">
    <vt:lpwstr>Privileged</vt:lpwstr>
  </property>
  <property fmtid="{D5CDD505-2E9C-101B-9397-08002B2CF9AE}" pid="5" name="MSIP_Label_aada7abd-22af-4be4-9080-cf0e1de95e2f_Name">
    <vt:lpwstr>Unofficial (DJPR)</vt:lpwstr>
  </property>
  <property fmtid="{D5CDD505-2E9C-101B-9397-08002B2CF9AE}" pid="6" name="MSIP_Label_aada7abd-22af-4be4-9080-cf0e1de95e2f_SiteId">
    <vt:lpwstr>722ea0be-3e1c-4b11-ad6f-9401d6856e24</vt:lpwstr>
  </property>
  <property fmtid="{D5CDD505-2E9C-101B-9397-08002B2CF9AE}" pid="7" name="MSIP_Label_aada7abd-22af-4be4-9080-cf0e1de95e2f_ActionId">
    <vt:lpwstr>5475384d-728b-4921-9902-1df5f1cfaae2</vt:lpwstr>
  </property>
  <property fmtid="{D5CDD505-2E9C-101B-9397-08002B2CF9AE}" pid="8" name="MSIP_Label_aada7abd-22af-4be4-9080-cf0e1de95e2f_ContentBits">
    <vt:lpwstr>3</vt:lpwstr>
  </property>
</Properties>
</file>